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Übersicht" sheetId="1" r:id="rId1"/>
    <sheet name="ZuF-Kreise" sheetId="2" r:id="rId2"/>
    <sheet name="ZuF Kreise, Monate" sheetId="3" r:id="rId3"/>
    <sheet name="ZuF Landesgrenze" sheetId="4" r:id="rId4"/>
  </sheets>
  <definedNames/>
  <calcPr fullCalcOnLoad="1"/>
</workbook>
</file>

<file path=xl/sharedStrings.xml><?xml version="1.0" encoding="utf-8"?>
<sst xmlns="http://schemas.openxmlformats.org/spreadsheetml/2006/main" count="189" uniqueCount="87">
  <si>
    <t>Hamburg</t>
  </si>
  <si>
    <t>über die Landesgrenze</t>
  </si>
  <si>
    <t xml:space="preserve">Zuzüge </t>
  </si>
  <si>
    <t xml:space="preserve">Fortzüge </t>
  </si>
  <si>
    <t>Schleswig-Holstein</t>
  </si>
  <si>
    <t>insgesamt</t>
  </si>
  <si>
    <t>männlich</t>
  </si>
  <si>
    <t>weiblich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</si>
  <si>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</si>
  <si>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</si>
  <si>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</si>
  <si>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</si>
  <si>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</si>
  <si>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</si>
  <si>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</si>
  <si>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</si>
  <si>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</si>
  <si>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</si>
  <si>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</si>
  <si>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Zuzüge</t>
  </si>
  <si>
    <t>Fortzüge</t>
  </si>
  <si>
    <t>Anzahl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</si>
  <si>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</si>
  <si>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</si>
  <si>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</si>
  <si>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</si>
  <si>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</si>
  <si>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</si>
  <si>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</si>
  <si>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r>
      <t>insgesamt</t>
    </r>
    <r>
      <rPr>
        <vertAlign val="superscript"/>
        <sz val="9"/>
        <rFont val="Arial"/>
        <family val="0"/>
      </rPr>
      <t>1</t>
    </r>
  </si>
  <si>
    <t>Wanderungs-gewinn oder -verlust (-)</t>
  </si>
  <si>
    <t>Baden-Württemberg</t>
  </si>
  <si>
    <t>Bayern</t>
  </si>
  <si>
    <t>Berlin</t>
  </si>
  <si>
    <t>Brandenburg</t>
  </si>
  <si>
    <t>Bremen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</si>
  <si>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</si>
  <si>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</si>
  <si>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</si>
  <si>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</si>
  <si>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</si>
  <si>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</si>
  <si>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</si>
  <si>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</si>
  <si>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Bundesrepublik Deutschland</t>
  </si>
  <si>
    <t>Herkunfts- bzw. Zielgebiet</t>
  </si>
  <si>
    <t>Hessen</t>
  </si>
  <si>
    <t>Merkmal</t>
  </si>
  <si>
    <t>Umzüge zwischen Gemeinden innerhalb Schleswig-Holsteins</t>
  </si>
  <si>
    <t>Hinweis:</t>
  </si>
  <si>
    <t xml:space="preserve">Bundeszahlen veröffentlicht das Statistische Bundesamt in seiner Fachserie 1 "Bevölkerung und </t>
  </si>
  <si>
    <t xml:space="preserve">Erwerbstätigkeit", Reihe 1 "Gebiet und Bevölkerung". </t>
  </si>
  <si>
    <t xml:space="preserve">Rechtsgrundlage: </t>
  </si>
  <si>
    <t>Gesetz über die Statistik der Bevölkerungsbewegung und die Fortschreibung des Bevölkerungsstandes</t>
  </si>
  <si>
    <t xml:space="preserve">in der Fassung vom 14. März 1980 (BGBl. I S.308), zuletzt geändert durch Artikel 2 des Gesetzes </t>
  </si>
  <si>
    <t xml:space="preserve">vom 25. März 2002 (BGBl. I S. 1186). </t>
  </si>
  <si>
    <t>Flensburg</t>
  </si>
  <si>
    <t>Kiel</t>
  </si>
  <si>
    <t>Lübeck</t>
  </si>
  <si>
    <t>Neumünster</t>
  </si>
  <si>
    <t>Kreise zusammen</t>
  </si>
  <si>
    <t>Kreisfreie Städte zusammen</t>
  </si>
  <si>
    <t>Insgesamt</t>
  </si>
  <si>
    <t>Umzüge zwischen Ortsteilen innerhalb Hamburgs</t>
  </si>
  <si>
    <t>Saldo</t>
  </si>
  <si>
    <t>2. Vierteljahr 2003</t>
  </si>
  <si>
    <t>2. Vierteljahr 2004</t>
  </si>
  <si>
    <t xml:space="preserve">2. Zu- und Fortzüge im 2. Vierteljahr 2004 </t>
  </si>
  <si>
    <t>3. Zu- und Fortzüge im 2. Vierteljahr 2004 nach Monaten</t>
  </si>
  <si>
    <t>Bezirk                        Kreisfreie Stadt                Kreis</t>
  </si>
  <si>
    <r>
      <t>innerhalb des Landes</t>
    </r>
    <r>
      <rPr>
        <vertAlign val="superscript"/>
        <sz val="9"/>
        <rFont val="Arial"/>
        <family val="2"/>
      </rPr>
      <t>1</t>
    </r>
  </si>
  <si>
    <r>
      <t>1</t>
    </r>
    <r>
      <rPr>
        <sz val="7"/>
        <rFont val="Arial"/>
        <family val="0"/>
      </rPr>
      <t xml:space="preserve"> </t>
    </r>
    <r>
      <rPr>
        <sz val="7"/>
        <rFont val="Arial"/>
        <family val="2"/>
      </rPr>
      <t>Hamburg: über die Ortsteilsgrenzen.</t>
    </r>
  </si>
  <si>
    <t xml:space="preserve">   Schleswig-Holstein: über die Gemeindegrenzen.</t>
  </si>
  <si>
    <t>Bezirk                     Kreisfreie Stadt              Kreis</t>
  </si>
  <si>
    <r>
      <t>1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Hamburg: über die Ortsteilsgrenzen.</t>
    </r>
  </si>
  <si>
    <t xml:space="preserve">    Schleswig-Holstein: über die Gemeindegrenzen.</t>
  </si>
  <si>
    <t>April</t>
  </si>
  <si>
    <t>Mai</t>
  </si>
  <si>
    <t>Juni</t>
  </si>
  <si>
    <t>nach Herkunfts- und Zielgebiet</t>
  </si>
  <si>
    <t>Ausland</t>
  </si>
  <si>
    <r>
      <t>4. Zu</t>
    </r>
    <r>
      <rPr>
        <b/>
        <sz val="9"/>
        <rFont val="Arial"/>
        <family val="2"/>
      </rPr>
      <t xml:space="preserve">- </t>
    </r>
    <r>
      <rPr>
        <b/>
        <sz val="10"/>
        <rFont val="Arial"/>
        <family val="2"/>
      </rPr>
      <t>und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Fortzüge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über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die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Landesgrenze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im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Vierteljahr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2004</t>
    </r>
    <r>
      <rPr>
        <b/>
        <sz val="9"/>
        <rFont val="Arial"/>
        <family val="2"/>
      </rPr>
      <t xml:space="preserve"> </t>
    </r>
  </si>
  <si>
    <r>
      <t>noch: 4. Zu</t>
    </r>
    <r>
      <rPr>
        <b/>
        <sz val="9"/>
        <rFont val="Arial"/>
        <family val="2"/>
      </rPr>
      <t xml:space="preserve">- </t>
    </r>
    <r>
      <rPr>
        <b/>
        <sz val="10"/>
        <rFont val="Arial"/>
        <family val="2"/>
      </rPr>
      <t>und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Fortzüge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über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die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Landesgrenze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im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Vierteljahr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>2004</t>
    </r>
    <r>
      <rPr>
        <b/>
        <sz val="9"/>
        <rFont val="Arial"/>
        <family val="2"/>
      </rPr>
      <t xml:space="preserve"> </t>
    </r>
  </si>
  <si>
    <t xml:space="preserve">Kreisfreie Städte  </t>
  </si>
  <si>
    <t>zusammen</t>
  </si>
  <si>
    <t>1. Übersicht</t>
  </si>
  <si>
    <t>Die Wanderungen im 2. Vierteljahr 2003 und 2004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</si>
</sst>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\ ###\ ###"/>
    <numFmt numFmtId="166" formatCode="#\ ###\ ###"/>
    <numFmt numFmtId="167" formatCode="#.0\ ###\ ###"/>
    <numFmt numFmtId="168" formatCode="#.00\ ###\ ###"/>
    <numFmt numFmtId="169" formatCode="#\ ###\ ###\ ###"/>
    <numFmt numFmtId="170" formatCode="#0.0\ ###\ ###"/>
    <numFmt numFmtId="171" formatCode="#.\ ###\ ###"/>
    <numFmt numFmtId="172" formatCode=".\ ###\ ;############################################################################################################################################################################"/>
    <numFmt numFmtId="173" formatCode=".\ ###\ ;################################################################################################################################"/>
    <numFmt numFmtId="174" formatCode=".\ ##\ ;################################################################################################################################"/>
    <numFmt numFmtId="175" formatCode=".\ #\ ;################################################################################################################################"/>
    <numFmt numFmtId="176" formatCode=".\ ##\ ;############################################################################################################################################################################"/>
    <numFmt numFmtId="177" formatCode=".\ #\ ;############################################################################################################################################################################"/>
    <numFmt numFmtId="178" formatCode=".\ ##\ ;############################################################################################################################################################################.0"/>
    <numFmt numFmtId="179" formatCode=".\ ###\ ;############################################################################################################################################################################.00"/>
    <numFmt numFmtId="180" formatCode="_-* 0.0"/>
    <numFmt numFmtId="181" formatCode="0.0"/>
    <numFmt numFmtId="182" formatCode="\ \ \ \ \ \ \ \ \ \ \ \ \ \ \ \ \ \ \ \ \ \ \ \ \ \ \ \ \ \ \ \ \ \ \ \ \ \ \ \ \ \ \ \ \ \ \ \ \ \ \ \ \ \ \ \ \ \ \ \ #\ ###\ ###"/>
    <numFmt numFmtId="183" formatCode="\ \ \ \ \ \ \ \ \ \ \ \ \ \ \ \ \ \ \ \ \ \ \ \ \ \ \ \ \ \ \ \ \ \ \ \ \ \ \ \ \ #\ ###\ ###"/>
    <numFmt numFmtId="184" formatCode="\ \ \ \ \ \ \ \ \ \ \ \ \ \ \ \ \ \ \ \ \ \ \ \ \ \ \ \ \ \ \ \ \ \ \ \ \ #\ ###\ ###"/>
    <numFmt numFmtId="185" formatCode="\ \ \ \ \ \ \ \ \ \ \ \ \ \ \ \ \ \ \ \ \ #\ ###\ ###"/>
    <numFmt numFmtId="186" formatCode="\ \ \ \ \ \ \ \ \ #\ ###\ ###"/>
    <numFmt numFmtId="187" formatCode="\ \ \ \ \ \ \ \ \ \ \ \ \ #\ ###\ ###"/>
    <numFmt numFmtId="188" formatCode="\ \ \ \ \ \ \ \ \ \ \ \ \ \ \ \ \ #\ ###\ ###"/>
    <numFmt numFmtId="189" formatCode="\ \ \ \ \ \ \ \ \ \ \ \ \ \ \ \ \ \ \ #\ ###\ ###"/>
    <numFmt numFmtId="190" formatCode="\ \ \ \ \ \ \ \ \ \ \ \ \ \ \ \ \ \ #\ ###\ ###"/>
    <numFmt numFmtId="191" formatCode="\ \ \ \ \ \ \ \ \ \ \ \ \ \ \ \ #\ ###\ ###"/>
    <numFmt numFmtId="192" formatCode="\ \ \ \ \ \ \ \ \ \ \ \ \ \ \ #\ ###\ ###"/>
    <numFmt numFmtId="193" formatCode="\ \ \ \ \ \ \ \ \ \ \ \ \ \ #\ ###\ ###"/>
    <numFmt numFmtId="194" formatCode="\ \ \ \ \ \ \ \ \ \ \ #\ ###\ ###"/>
    <numFmt numFmtId="195" formatCode="\ \ \ \ \ \ \ \ \ \ \ \ #\ ###\ ###"/>
    <numFmt numFmtId="196" formatCode="\ \ \ \ \ \ \ \ \ \ #\ ###\ ###"/>
    <numFmt numFmtId="197" formatCode="[$-407]d/\ mmmm\ yyyy;@"/>
    <numFmt numFmtId="198" formatCode="\ \ \ \ \ \ #\ ###\ ###"/>
    <numFmt numFmtId="199" formatCode="\ \ \ \ \ #\ ###\ ###"/>
    <numFmt numFmtId="200" formatCode="\ \ \ \ \ \ \ \ #\ ###"/>
    <numFmt numFmtId="201" formatCode="\ \ \ \ \ \ \ \ #\ ###\ ###"/>
    <numFmt numFmtId="202" formatCode="\ \ \ \ \ \ \ #\ ###\ ###"/>
    <numFmt numFmtId="203" formatCode="\ \ \ \ #\ ###\ ###"/>
    <numFmt numFmtId="204" formatCode="\ \+\ * ##\ ###;\ \-\ * ##\ ###"/>
    <numFmt numFmtId="205" formatCode="##\ "/>
    <numFmt numFmtId="206" formatCode="##\ ###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vertAlign val="superscript"/>
      <sz val="9"/>
      <name val="Arial"/>
      <family val="0"/>
    </font>
    <font>
      <sz val="7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7" fontId="0" fillId="0" borderId="0" xfId="0" applyNumberFormat="1" applyFill="1" applyBorder="1" applyAlignment="1">
      <alignment/>
    </xf>
    <xf numFmtId="166" fontId="5" fillId="0" borderId="0" xfId="0" applyNumberFormat="1" applyFont="1" applyAlignment="1">
      <alignment/>
    </xf>
    <xf numFmtId="166" fontId="5" fillId="0" borderId="2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177" fontId="0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5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 vertical="center" wrapText="1"/>
    </xf>
    <xf numFmtId="181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5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Fill="1" applyBorder="1" applyAlignment="1">
      <alignment/>
    </xf>
    <xf numFmtId="204" fontId="3" fillId="0" borderId="0" xfId="0" applyNumberFormat="1" applyFont="1" applyBorder="1" applyAlignment="1">
      <alignment/>
    </xf>
    <xf numFmtId="166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3" xfId="0" applyNumberFormat="1" applyFill="1" applyBorder="1" applyAlignment="1">
      <alignment/>
    </xf>
    <xf numFmtId="166" fontId="3" fillId="0" borderId="0" xfId="0" applyNumberFormat="1" applyFont="1" applyAlignment="1">
      <alignment/>
    </xf>
    <xf numFmtId="166" fontId="3" fillId="0" borderId="3" xfId="0" applyNumberFormat="1" applyFont="1" applyBorder="1" applyAlignment="1">
      <alignment/>
    </xf>
    <xf numFmtId="204" fontId="0" fillId="0" borderId="12" xfId="0" applyNumberFormat="1" applyBorder="1" applyAlignment="1">
      <alignment/>
    </xf>
    <xf numFmtId="204" fontId="0" fillId="0" borderId="12" xfId="0" applyNumberFormat="1" applyBorder="1" applyAlignment="1">
      <alignment horizontal="right"/>
    </xf>
    <xf numFmtId="204" fontId="0" fillId="0" borderId="12" xfId="0" applyNumberFormat="1" applyFill="1" applyBorder="1" applyAlignment="1">
      <alignment/>
    </xf>
    <xf numFmtId="204" fontId="3" fillId="0" borderId="12" xfId="0" applyNumberFormat="1" applyFont="1" applyBorder="1" applyAlignment="1">
      <alignment/>
    </xf>
    <xf numFmtId="206" fontId="5" fillId="0" borderId="0" xfId="0" applyNumberFormat="1" applyFont="1" applyBorder="1" applyAlignment="1">
      <alignment/>
    </xf>
    <xf numFmtId="206" fontId="5" fillId="0" borderId="0" xfId="0" applyNumberFormat="1" applyFont="1" applyFill="1" applyBorder="1" applyAlignment="1">
      <alignment/>
    </xf>
    <xf numFmtId="206" fontId="6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3" xfId="0" applyNumberFormat="1" applyFont="1" applyBorder="1" applyAlignment="1">
      <alignment/>
    </xf>
    <xf numFmtId="204" fontId="0" fillId="0" borderId="12" xfId="0" applyNumberFormat="1" applyFont="1" applyBorder="1" applyAlignment="1">
      <alignment/>
    </xf>
    <xf numFmtId="204" fontId="0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3" xfId="0" applyNumberFormat="1" applyFont="1" applyBorder="1" applyAlignment="1">
      <alignment/>
    </xf>
    <xf numFmtId="204" fontId="3" fillId="0" borderId="12" xfId="0" applyNumberFormat="1" applyFont="1" applyBorder="1" applyAlignment="1">
      <alignment/>
    </xf>
    <xf numFmtId="204" fontId="3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95250</xdr:rowOff>
    </xdr:from>
    <xdr:to>
      <xdr:col>7</xdr:col>
      <xdr:colOff>419100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G5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9.7109375" style="0" customWidth="1"/>
    <col min="3" max="6" width="9.8515625" style="0" customWidth="1"/>
  </cols>
  <sheetData>
    <row r="17" spans="1:7" ht="12.75">
      <c r="A17" s="97" t="s">
        <v>86</v>
      </c>
      <c r="B17" s="97"/>
      <c r="C17" s="97"/>
      <c r="D17" s="97"/>
      <c r="E17" s="97"/>
      <c r="F17" s="97"/>
      <c r="G17" s="97"/>
    </row>
    <row r="18" spans="1:7" ht="12.75">
      <c r="A18" s="97"/>
      <c r="B18" s="97"/>
      <c r="C18" s="97"/>
      <c r="D18" s="97"/>
      <c r="E18" s="97"/>
      <c r="F18" s="97"/>
      <c r="G18" s="97"/>
    </row>
    <row r="19" spans="1:7" ht="12.75">
      <c r="A19" s="97" t="s">
        <v>85</v>
      </c>
      <c r="B19" s="97"/>
      <c r="C19" s="97"/>
      <c r="D19" s="97"/>
      <c r="E19" s="97"/>
      <c r="F19" s="97"/>
      <c r="G19" s="97"/>
    </row>
    <row r="20" spans="1:7" ht="12.75">
      <c r="A20" s="97"/>
      <c r="B20" s="97"/>
      <c r="C20" s="97"/>
      <c r="D20" s="97"/>
      <c r="E20" s="97"/>
      <c r="F20" s="97"/>
      <c r="G20" s="97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101" t="s">
        <v>47</v>
      </c>
      <c r="B22" s="106" t="s">
        <v>65</v>
      </c>
      <c r="C22" s="107"/>
      <c r="D22" s="108"/>
      <c r="E22" s="106" t="s">
        <v>66</v>
      </c>
      <c r="F22" s="107"/>
      <c r="G22" s="107"/>
    </row>
    <row r="23" spans="1:7" ht="12.75">
      <c r="A23" s="102"/>
      <c r="B23" s="15" t="s">
        <v>5</v>
      </c>
      <c r="C23" s="15" t="s">
        <v>6</v>
      </c>
      <c r="D23" s="15" t="s">
        <v>7</v>
      </c>
      <c r="E23" s="15" t="s">
        <v>5</v>
      </c>
      <c r="F23" s="15" t="s">
        <v>6</v>
      </c>
      <c r="G23" s="6" t="s">
        <v>7</v>
      </c>
    </row>
    <row r="24" spans="1:7" ht="12.75">
      <c r="A24" s="52"/>
      <c r="B24" s="36"/>
      <c r="C24" s="36"/>
      <c r="D24" s="36"/>
      <c r="E24" s="36"/>
      <c r="F24" s="36"/>
      <c r="G24" s="36"/>
    </row>
    <row r="25" spans="1:7" ht="12.75">
      <c r="A25" s="109" t="s">
        <v>0</v>
      </c>
      <c r="B25" s="109"/>
      <c r="C25" s="109"/>
      <c r="D25" s="109"/>
      <c r="E25" s="109"/>
      <c r="F25" s="109"/>
      <c r="G25" s="109"/>
    </row>
    <row r="26" spans="1:7" ht="12.75">
      <c r="A26" s="53"/>
      <c r="B26" s="31"/>
      <c r="C26" s="31"/>
      <c r="D26" s="31"/>
      <c r="E26" s="31"/>
      <c r="F26" s="31"/>
      <c r="G26" s="31"/>
    </row>
    <row r="27" spans="1:7" ht="12.75">
      <c r="A27" s="53" t="s">
        <v>2</v>
      </c>
      <c r="B27" s="31">
        <f>C27+D27</f>
        <v>17396</v>
      </c>
      <c r="C27" s="56">
        <f>3238+3010+3078</f>
        <v>9326</v>
      </c>
      <c r="D27" s="56">
        <f>2735+2538+2797</f>
        <v>8070</v>
      </c>
      <c r="E27" s="31">
        <f>F27+G27</f>
        <v>18258</v>
      </c>
      <c r="F27" s="31">
        <f>3171+2816+3731</f>
        <v>9718</v>
      </c>
      <c r="G27" s="31">
        <f>2822+2502+3216</f>
        <v>8540</v>
      </c>
    </row>
    <row r="28" spans="1:7" ht="12.75">
      <c r="A28" s="53" t="s">
        <v>3</v>
      </c>
      <c r="B28" s="31">
        <f>C28+D28</f>
        <v>16068</v>
      </c>
      <c r="C28" s="56">
        <f>3153+2832+2874</f>
        <v>8859</v>
      </c>
      <c r="D28" s="56">
        <f>2467+2283+2459</f>
        <v>7209</v>
      </c>
      <c r="E28" s="31">
        <f>F28+G28</f>
        <v>18570</v>
      </c>
      <c r="F28" s="31">
        <f>3233+2831+3994</f>
        <v>10058</v>
      </c>
      <c r="G28" s="31">
        <f>2676+2376+3460</f>
        <v>8512</v>
      </c>
    </row>
    <row r="29" spans="1:7" ht="12.75">
      <c r="A29" s="53" t="s">
        <v>64</v>
      </c>
      <c r="B29" s="70">
        <f>C29+D29</f>
        <v>1328</v>
      </c>
      <c r="C29" s="71">
        <f>85+178+204</f>
        <v>467</v>
      </c>
      <c r="D29" s="71">
        <f>268+255+338</f>
        <v>861</v>
      </c>
      <c r="E29" s="70">
        <f>F29+G29</f>
        <v>-312</v>
      </c>
      <c r="F29" s="70">
        <f>(-62)+(-15)+(-263)</f>
        <v>-340</v>
      </c>
      <c r="G29" s="70">
        <f>146+126+(-244)</f>
        <v>28</v>
      </c>
    </row>
    <row r="30" spans="1:7" ht="12.75">
      <c r="A30" s="53"/>
      <c r="B30" s="31"/>
      <c r="C30" s="56"/>
      <c r="D30" s="56"/>
      <c r="E30" s="31"/>
      <c r="F30" s="31"/>
      <c r="G30" s="31"/>
    </row>
    <row r="31" spans="1:7" ht="12.75">
      <c r="A31" s="103" t="s">
        <v>63</v>
      </c>
      <c r="B31" s="99">
        <f>C31+D31</f>
        <v>25338</v>
      </c>
      <c r="C31" s="100">
        <f>4298+4072+4297</f>
        <v>12667</v>
      </c>
      <c r="D31" s="100">
        <f>4322+4046+4303</f>
        <v>12671</v>
      </c>
      <c r="E31" s="99">
        <f>F31+G31</f>
        <v>27759</v>
      </c>
      <c r="F31" s="99">
        <f>4548+4140+5171</f>
        <v>13859</v>
      </c>
      <c r="G31" s="99">
        <f>4539+4029+5332</f>
        <v>13900</v>
      </c>
    </row>
    <row r="32" spans="1:7" ht="12.75">
      <c r="A32" s="103"/>
      <c r="B32" s="99"/>
      <c r="C32" s="100"/>
      <c r="D32" s="100"/>
      <c r="E32" s="99"/>
      <c r="F32" s="99"/>
      <c r="G32" s="99"/>
    </row>
    <row r="33" spans="1:7" ht="12.75">
      <c r="A33" s="54"/>
      <c r="B33" s="37"/>
      <c r="C33" s="37"/>
      <c r="D33" s="37"/>
      <c r="E33" s="37"/>
      <c r="F33" s="37"/>
      <c r="G33" s="37"/>
    </row>
    <row r="34" spans="1:7" ht="12.75">
      <c r="A34" s="105" t="s">
        <v>4</v>
      </c>
      <c r="B34" s="105"/>
      <c r="C34" s="105"/>
      <c r="D34" s="105"/>
      <c r="E34" s="105"/>
      <c r="F34" s="105"/>
      <c r="G34" s="105"/>
    </row>
    <row r="35" spans="1:7" ht="12.75">
      <c r="A35" s="53"/>
      <c r="B35" s="31"/>
      <c r="C35" s="31"/>
      <c r="D35" s="31"/>
      <c r="E35" s="31"/>
      <c r="F35" s="31"/>
      <c r="G35" s="31"/>
    </row>
    <row r="36" spans="1:7" ht="12.75">
      <c r="A36" s="53" t="s">
        <v>2</v>
      </c>
      <c r="B36" s="31">
        <v>16437</v>
      </c>
      <c r="C36" s="56">
        <v>8330</v>
      </c>
      <c r="D36" s="56">
        <v>8107</v>
      </c>
      <c r="E36" s="31">
        <f>F36+G36</f>
        <v>17794</v>
      </c>
      <c r="F36" s="56">
        <f>2976+2678+3392</f>
        <v>9046</v>
      </c>
      <c r="G36" s="56">
        <f>2803+2605+3340</f>
        <v>8748</v>
      </c>
    </row>
    <row r="37" spans="1:7" ht="12.75">
      <c r="A37" s="53" t="s">
        <v>3</v>
      </c>
      <c r="B37" s="31">
        <v>13801</v>
      </c>
      <c r="C37" s="56">
        <v>7418</v>
      </c>
      <c r="D37" s="56">
        <v>6383</v>
      </c>
      <c r="E37" s="31">
        <f>F37+G37</f>
        <v>15153</v>
      </c>
      <c r="F37" s="56">
        <f>2708+2345+3009</f>
        <v>8062</v>
      </c>
      <c r="G37" s="56">
        <f>2407+2103+2581</f>
        <v>7091</v>
      </c>
    </row>
    <row r="38" spans="1:7" ht="12.75">
      <c r="A38" s="53" t="s">
        <v>64</v>
      </c>
      <c r="B38" s="70">
        <v>2636</v>
      </c>
      <c r="C38" s="71">
        <v>912</v>
      </c>
      <c r="D38" s="71">
        <v>1724</v>
      </c>
      <c r="E38" s="70">
        <f>F38+G38</f>
        <v>2641</v>
      </c>
      <c r="F38" s="71">
        <f>268+333+383</f>
        <v>984</v>
      </c>
      <c r="G38" s="71">
        <f>396+502+759</f>
        <v>1657</v>
      </c>
    </row>
    <row r="39" spans="1:7" ht="12.75">
      <c r="A39" s="53"/>
      <c r="B39" s="31"/>
      <c r="C39" s="56"/>
      <c r="D39" s="56"/>
      <c r="E39" s="31"/>
      <c r="F39" s="56"/>
      <c r="G39" s="56"/>
    </row>
    <row r="40" spans="1:7" ht="12.75">
      <c r="A40" s="104" t="s">
        <v>48</v>
      </c>
      <c r="B40" s="99">
        <v>27297</v>
      </c>
      <c r="C40" s="100">
        <v>13549</v>
      </c>
      <c r="D40" s="100">
        <v>13748</v>
      </c>
      <c r="E40" s="99">
        <v>28765</v>
      </c>
      <c r="F40" s="100">
        <v>14242</v>
      </c>
      <c r="G40" s="100">
        <v>14523</v>
      </c>
    </row>
    <row r="41" spans="1:7" ht="12.75">
      <c r="A41" s="104"/>
      <c r="B41" s="99"/>
      <c r="C41" s="100"/>
      <c r="D41" s="100"/>
      <c r="E41" s="99"/>
      <c r="F41" s="100"/>
      <c r="G41" s="100"/>
    </row>
    <row r="42" spans="1:7" ht="12.75">
      <c r="A42" s="60"/>
      <c r="B42" s="58"/>
      <c r="C42" s="59"/>
      <c r="D42" s="59"/>
      <c r="E42" s="58"/>
      <c r="F42" s="59"/>
      <c r="G42" s="59"/>
    </row>
    <row r="43" spans="1:7" ht="12.75">
      <c r="A43" s="60"/>
      <c r="B43" s="58"/>
      <c r="C43" s="59"/>
      <c r="D43" s="59"/>
      <c r="E43" s="58"/>
      <c r="F43" s="59"/>
      <c r="G43" s="59"/>
    </row>
    <row r="44" spans="1:7" ht="12.75">
      <c r="A44" s="60"/>
      <c r="B44" s="58"/>
      <c r="C44" s="59"/>
      <c r="D44" s="59"/>
      <c r="E44" s="58"/>
      <c r="F44" s="59"/>
      <c r="G44" s="59"/>
    </row>
    <row r="48" ht="12.75">
      <c r="A48" s="7" t="s">
        <v>49</v>
      </c>
    </row>
    <row r="49" spans="1:7" ht="12.75">
      <c r="A49" s="98" t="s">
        <v>50</v>
      </c>
      <c r="B49" s="98"/>
      <c r="C49" s="98"/>
      <c r="D49" s="98"/>
      <c r="E49" s="98"/>
      <c r="F49" s="98"/>
      <c r="G49" s="98"/>
    </row>
    <row r="50" spans="1:7" ht="12.75">
      <c r="A50" s="98" t="s">
        <v>51</v>
      </c>
      <c r="B50" s="98"/>
      <c r="C50" s="98"/>
      <c r="D50" s="98"/>
      <c r="E50" s="98"/>
      <c r="F50" s="98"/>
      <c r="G50" s="98"/>
    </row>
    <row r="52" ht="12.75">
      <c r="A52" s="7" t="s">
        <v>52</v>
      </c>
    </row>
    <row r="53" spans="1:7" ht="12.75">
      <c r="A53" s="98" t="s">
        <v>53</v>
      </c>
      <c r="B53" s="98"/>
      <c r="C53" s="98"/>
      <c r="D53" s="98"/>
      <c r="E53" s="98"/>
      <c r="F53" s="98"/>
      <c r="G53" s="98"/>
    </row>
    <row r="54" spans="1:7" ht="12.75">
      <c r="A54" s="98" t="s">
        <v>54</v>
      </c>
      <c r="B54" s="98"/>
      <c r="C54" s="98"/>
      <c r="D54" s="98"/>
      <c r="E54" s="98"/>
      <c r="F54" s="98"/>
      <c r="G54" s="98"/>
    </row>
    <row r="55" spans="1:7" ht="12.75">
      <c r="A55" s="98" t="s">
        <v>55</v>
      </c>
      <c r="B55" s="98"/>
      <c r="C55" s="98"/>
      <c r="D55" s="98"/>
      <c r="E55" s="98"/>
      <c r="F55" s="98"/>
      <c r="G55" s="98"/>
    </row>
  </sheetData>
  <sheetProtection password="E792" sheet="1" objects="1" scenarios="1"/>
  <mergeCells count="27">
    <mergeCell ref="E22:G22"/>
    <mergeCell ref="G31:G32"/>
    <mergeCell ref="C31:C32"/>
    <mergeCell ref="D31:D32"/>
    <mergeCell ref="E31:E32"/>
    <mergeCell ref="F31:F32"/>
    <mergeCell ref="A25:G25"/>
    <mergeCell ref="G40:G41"/>
    <mergeCell ref="A22:A23"/>
    <mergeCell ref="A31:A32"/>
    <mergeCell ref="B31:B32"/>
    <mergeCell ref="A40:A41"/>
    <mergeCell ref="B40:B41"/>
    <mergeCell ref="C40:C41"/>
    <mergeCell ref="D40:D41"/>
    <mergeCell ref="A34:G34"/>
    <mergeCell ref="B22:D22"/>
    <mergeCell ref="A18:G18"/>
    <mergeCell ref="A17:G17"/>
    <mergeCell ref="A19:G20"/>
    <mergeCell ref="A55:G55"/>
    <mergeCell ref="A49:G49"/>
    <mergeCell ref="A50:G50"/>
    <mergeCell ref="A53:G53"/>
    <mergeCell ref="A54:G54"/>
    <mergeCell ref="E40:E41"/>
    <mergeCell ref="F40:F4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586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22.8515625" style="0" customWidth="1"/>
    <col min="2" max="2" width="9.7109375" style="0" customWidth="1"/>
    <col min="3" max="3" width="10.00390625" style="0" customWidth="1"/>
    <col min="4" max="4" width="12.00390625" style="0" customWidth="1"/>
    <col min="5" max="5" width="9.57421875" style="0" customWidth="1"/>
    <col min="6" max="6" width="10.00390625" style="0" customWidth="1"/>
    <col min="7" max="7" width="12.00390625" style="0" customWidth="1"/>
    <col min="8" max="8" width="14.7109375" style="0" customWidth="1"/>
    <col min="9" max="9" width="10.57421875" style="5" customWidth="1"/>
    <col min="10" max="10" width="19.00390625" style="0" customWidth="1"/>
    <col min="11" max="11" width="12.28125" style="0" bestFit="1" customWidth="1"/>
  </cols>
  <sheetData>
    <row r="1" spans="1:8" ht="12.75">
      <c r="A1" s="97" t="s">
        <v>67</v>
      </c>
      <c r="B1" s="97"/>
      <c r="C1" s="97"/>
      <c r="D1" s="97"/>
      <c r="E1" s="97"/>
      <c r="F1" s="97"/>
      <c r="G1" s="97"/>
      <c r="H1" s="97"/>
    </row>
    <row r="2" ht="12.75" customHeight="1">
      <c r="A2" s="1"/>
    </row>
    <row r="3" ht="12.75" customHeight="1">
      <c r="H3" s="2"/>
    </row>
    <row r="4" spans="1:10" ht="39" customHeight="1">
      <c r="A4" s="111" t="s">
        <v>69</v>
      </c>
      <c r="B4" s="93" t="s">
        <v>19</v>
      </c>
      <c r="C4" s="94"/>
      <c r="D4" s="95"/>
      <c r="E4" s="93" t="s">
        <v>20</v>
      </c>
      <c r="F4" s="94"/>
      <c r="G4" s="95"/>
      <c r="H4" s="50" t="s">
        <v>30</v>
      </c>
      <c r="I4" s="48"/>
      <c r="J4" s="42"/>
    </row>
    <row r="5" spans="1:10" ht="37.5">
      <c r="A5" s="112"/>
      <c r="B5" s="9" t="s">
        <v>5</v>
      </c>
      <c r="C5" s="9" t="s">
        <v>70</v>
      </c>
      <c r="D5" s="10" t="s">
        <v>1</v>
      </c>
      <c r="E5" s="9" t="s">
        <v>5</v>
      </c>
      <c r="F5" s="9" t="s">
        <v>70</v>
      </c>
      <c r="G5" s="10" t="s">
        <v>1</v>
      </c>
      <c r="H5" s="34" t="s">
        <v>21</v>
      </c>
      <c r="I5" s="35"/>
      <c r="J5" s="43"/>
    </row>
    <row r="6" spans="1:10" ht="12.75">
      <c r="A6" s="35"/>
      <c r="B6" s="35"/>
      <c r="C6" s="35"/>
      <c r="D6" s="35"/>
      <c r="E6" s="35"/>
      <c r="F6" s="35"/>
      <c r="G6" s="35"/>
      <c r="H6" s="35"/>
      <c r="J6" s="42"/>
    </row>
    <row r="7" spans="1:10" ht="12.75">
      <c r="A7" s="110" t="s">
        <v>0</v>
      </c>
      <c r="B7" s="110"/>
      <c r="C7" s="110"/>
      <c r="D7" s="110"/>
      <c r="E7" s="110"/>
      <c r="F7" s="110"/>
      <c r="G7" s="110"/>
      <c r="H7" s="110"/>
      <c r="I7" s="45"/>
      <c r="J7" s="40"/>
    </row>
    <row r="8" spans="1:10" ht="12" customHeight="1">
      <c r="A8" s="5"/>
      <c r="B8" s="5"/>
      <c r="C8" s="5"/>
      <c r="D8" s="5"/>
      <c r="E8" s="5"/>
      <c r="F8" s="5"/>
      <c r="G8" s="5"/>
      <c r="H8" s="5"/>
      <c r="I8" s="45"/>
      <c r="J8" s="40"/>
    </row>
    <row r="9" spans="1:10" ht="12.75">
      <c r="A9" s="32" t="s">
        <v>22</v>
      </c>
      <c r="B9" s="39">
        <f>C9+D9</f>
        <v>7025</v>
      </c>
      <c r="C9" s="39">
        <f>1345+1096+1613</f>
        <v>4054</v>
      </c>
      <c r="D9" s="39">
        <f>901+870+1200</f>
        <v>2971</v>
      </c>
      <c r="E9" s="39">
        <f>F9+G9</f>
        <v>6953</v>
      </c>
      <c r="F9" s="39">
        <f>1421+1251+1606</f>
        <v>4278</v>
      </c>
      <c r="G9" s="39">
        <f>854+861+960</f>
        <v>2675</v>
      </c>
      <c r="H9" s="70">
        <f>B9-E9</f>
        <v>72</v>
      </c>
      <c r="I9" s="45"/>
      <c r="J9" s="40"/>
    </row>
    <row r="10" spans="1:10" ht="12" customHeight="1">
      <c r="A10" s="32"/>
      <c r="B10" s="39"/>
      <c r="C10" s="39"/>
      <c r="D10" s="39"/>
      <c r="E10" s="39"/>
      <c r="F10" s="39"/>
      <c r="G10" s="39"/>
      <c r="H10" s="70"/>
      <c r="I10" s="45"/>
      <c r="J10" s="40"/>
    </row>
    <row r="11" spans="1:10" ht="12.75">
      <c r="A11" s="32" t="s">
        <v>23</v>
      </c>
      <c r="B11" s="39">
        <f>C11+D11</f>
        <v>6800</v>
      </c>
      <c r="C11" s="39">
        <f>1251+1243+1538</f>
        <v>4032</v>
      </c>
      <c r="D11" s="39">
        <f>892+797+1079</f>
        <v>2768</v>
      </c>
      <c r="E11" s="39">
        <f aca="true" t="shared" si="0" ref="E11:E21">F11+G11</f>
        <v>7135</v>
      </c>
      <c r="F11" s="39">
        <f>1298+1257+1616</f>
        <v>4171</v>
      </c>
      <c r="G11" s="39">
        <f>860+815+1289</f>
        <v>2964</v>
      </c>
      <c r="H11" s="70">
        <f aca="true" t="shared" si="1" ref="H11:H23">B11-E11</f>
        <v>-335</v>
      </c>
      <c r="I11" s="45"/>
      <c r="J11" s="40"/>
    </row>
    <row r="12" spans="1:10" ht="12" customHeight="1">
      <c r="A12" s="32"/>
      <c r="B12" s="39"/>
      <c r="C12" s="39"/>
      <c r="D12" s="39"/>
      <c r="E12" s="39"/>
      <c r="F12" s="39"/>
      <c r="G12" s="39"/>
      <c r="H12" s="70"/>
      <c r="I12" s="45"/>
      <c r="J12" s="40"/>
    </row>
    <row r="13" spans="1:10" ht="12.75">
      <c r="A13" s="32" t="s">
        <v>24</v>
      </c>
      <c r="B13" s="39">
        <f>C13+D13</f>
        <v>6794</v>
      </c>
      <c r="C13" s="39">
        <f>1383+1242+1465</f>
        <v>4090</v>
      </c>
      <c r="D13" s="39">
        <f>950+800+954</f>
        <v>2704</v>
      </c>
      <c r="E13" s="39">
        <f t="shared" si="0"/>
        <v>6910</v>
      </c>
      <c r="F13" s="39">
        <f>1258+1101+1442</f>
        <v>3801</v>
      </c>
      <c r="G13" s="39">
        <f>1234+799+1076</f>
        <v>3109</v>
      </c>
      <c r="H13" s="70">
        <f t="shared" si="1"/>
        <v>-116</v>
      </c>
      <c r="I13" s="45"/>
      <c r="J13" s="40"/>
    </row>
    <row r="14" spans="1:10" ht="12" customHeight="1">
      <c r="A14" s="32"/>
      <c r="B14" s="39"/>
      <c r="C14" s="39"/>
      <c r="D14" s="39"/>
      <c r="E14" s="39"/>
      <c r="F14" s="39"/>
      <c r="G14" s="39"/>
      <c r="H14" s="70"/>
      <c r="I14" s="45"/>
      <c r="J14" s="40"/>
    </row>
    <row r="15" spans="1:10" ht="12.75">
      <c r="A15" s="32" t="s">
        <v>25</v>
      </c>
      <c r="B15" s="39">
        <f aca="true" t="shared" si="2" ref="B15:B21">C15+D15</f>
        <v>8983</v>
      </c>
      <c r="C15" s="39">
        <f>1761+1617+1998</f>
        <v>5376</v>
      </c>
      <c r="D15" s="39">
        <f>1250+1067+1290</f>
        <v>3607</v>
      </c>
      <c r="E15" s="39">
        <f t="shared" si="0"/>
        <v>9036</v>
      </c>
      <c r="F15" s="39">
        <f>1924+1669+2074</f>
        <v>5667</v>
      </c>
      <c r="G15" s="39">
        <f>1036+853+1480</f>
        <v>3369</v>
      </c>
      <c r="H15" s="70">
        <f t="shared" si="1"/>
        <v>-53</v>
      </c>
      <c r="I15" s="45"/>
      <c r="J15" s="40"/>
    </row>
    <row r="16" spans="1:10" ht="12" customHeight="1">
      <c r="A16" s="32"/>
      <c r="B16" s="39"/>
      <c r="C16" s="39"/>
      <c r="D16" s="39"/>
      <c r="E16" s="39"/>
      <c r="F16" s="39"/>
      <c r="G16" s="39"/>
      <c r="H16" s="70"/>
      <c r="I16" s="45"/>
      <c r="J16" s="40"/>
    </row>
    <row r="17" spans="1:10" ht="12.75">
      <c r="A17" s="32" t="s">
        <v>26</v>
      </c>
      <c r="B17" s="39">
        <f t="shared" si="2"/>
        <v>8642</v>
      </c>
      <c r="C17" s="39">
        <f>1927+1601+2029</f>
        <v>5557</v>
      </c>
      <c r="D17" s="39">
        <f>936+898+1251</f>
        <v>3085</v>
      </c>
      <c r="E17" s="39">
        <f t="shared" si="0"/>
        <v>8621</v>
      </c>
      <c r="F17" s="39">
        <f>1818+1485+2005</f>
        <v>5308</v>
      </c>
      <c r="G17" s="39">
        <f>954+983+1376</f>
        <v>3313</v>
      </c>
      <c r="H17" s="70">
        <f t="shared" si="1"/>
        <v>21</v>
      </c>
      <c r="I17" s="45"/>
      <c r="J17" s="40"/>
    </row>
    <row r="18" spans="1:10" ht="12" customHeight="1">
      <c r="A18" s="32"/>
      <c r="B18" s="39"/>
      <c r="C18" s="39"/>
      <c r="D18" s="39"/>
      <c r="E18" s="39"/>
      <c r="F18" s="39"/>
      <c r="G18" s="39"/>
      <c r="H18" s="70"/>
      <c r="I18" s="45"/>
      <c r="J18" s="40"/>
    </row>
    <row r="19" spans="1:10" ht="12.75">
      <c r="A19" s="32" t="s">
        <v>27</v>
      </c>
      <c r="B19" s="39">
        <f t="shared" si="2"/>
        <v>2539</v>
      </c>
      <c r="C19" s="39">
        <f>466+446+679</f>
        <v>1591</v>
      </c>
      <c r="D19" s="39">
        <f>319+294+335</f>
        <v>948</v>
      </c>
      <c r="E19" s="39">
        <f t="shared" si="0"/>
        <v>2498</v>
      </c>
      <c r="F19" s="39">
        <f>438+471+611</f>
        <v>1520</v>
      </c>
      <c r="G19" s="39">
        <f>325+278+375</f>
        <v>978</v>
      </c>
      <c r="H19" s="70">
        <f t="shared" si="1"/>
        <v>41</v>
      </c>
      <c r="I19" s="45"/>
      <c r="J19" s="40"/>
    </row>
    <row r="20" spans="1:10" ht="12" customHeight="1">
      <c r="A20" s="32"/>
      <c r="B20" s="39"/>
      <c r="C20" s="39"/>
      <c r="D20" s="39"/>
      <c r="E20" s="39"/>
      <c r="F20" s="39"/>
      <c r="G20" s="39"/>
      <c r="H20" s="70"/>
      <c r="I20" s="45"/>
      <c r="J20" s="40"/>
    </row>
    <row r="21" spans="1:10" s="7" customFormat="1" ht="12.75">
      <c r="A21" s="32" t="s">
        <v>28</v>
      </c>
      <c r="B21" s="39">
        <f t="shared" si="2"/>
        <v>5234</v>
      </c>
      <c r="C21" s="39">
        <f>954+924+1181</f>
        <v>3059</v>
      </c>
      <c r="D21" s="39">
        <f>745+592+838</f>
        <v>2175</v>
      </c>
      <c r="E21" s="39">
        <f t="shared" si="0"/>
        <v>5176</v>
      </c>
      <c r="F21" s="39">
        <f>930+935+1149</f>
        <v>3014</v>
      </c>
      <c r="G21" s="39">
        <f>646+618+898</f>
        <v>2162</v>
      </c>
      <c r="H21" s="70">
        <f t="shared" si="1"/>
        <v>58</v>
      </c>
      <c r="I21" s="51"/>
      <c r="J21" s="44"/>
    </row>
    <row r="22" spans="1:10" s="7" customFormat="1" ht="9" customHeight="1">
      <c r="A22" s="32"/>
      <c r="B22" s="39"/>
      <c r="C22" s="39"/>
      <c r="D22" s="39"/>
      <c r="E22" s="39"/>
      <c r="F22" s="39"/>
      <c r="G22" s="39"/>
      <c r="H22" s="70"/>
      <c r="I22" s="51"/>
      <c r="J22" s="44"/>
    </row>
    <row r="23" spans="1:10" s="7" customFormat="1" ht="12.75">
      <c r="A23" s="33" t="s">
        <v>0</v>
      </c>
      <c r="B23" s="41">
        <f aca="true" t="shared" si="3" ref="B23:G23">SUM(B9:B21)</f>
        <v>46017</v>
      </c>
      <c r="C23" s="41">
        <f t="shared" si="3"/>
        <v>27759</v>
      </c>
      <c r="D23" s="41">
        <f t="shared" si="3"/>
        <v>18258</v>
      </c>
      <c r="E23" s="41">
        <f t="shared" si="3"/>
        <v>46329</v>
      </c>
      <c r="F23" s="41">
        <f t="shared" si="3"/>
        <v>27759</v>
      </c>
      <c r="G23" s="41">
        <f t="shared" si="3"/>
        <v>18570</v>
      </c>
      <c r="H23" s="72">
        <f t="shared" si="1"/>
        <v>-312</v>
      </c>
      <c r="I23" s="51"/>
      <c r="J23" s="44"/>
    </row>
    <row r="24" spans="1:10" s="7" customFormat="1" ht="12.75" customHeight="1">
      <c r="A24" s="55"/>
      <c r="B24" s="41"/>
      <c r="C24" s="41"/>
      <c r="D24" s="41"/>
      <c r="E24" s="41"/>
      <c r="F24" s="41"/>
      <c r="G24" s="41"/>
      <c r="H24" s="41"/>
      <c r="I24" s="51"/>
      <c r="J24" s="44"/>
    </row>
    <row r="25" spans="1:10" s="7" customFormat="1" ht="12.75" customHeight="1">
      <c r="A25" s="55"/>
      <c r="B25" s="41"/>
      <c r="C25" s="41"/>
      <c r="D25" s="41"/>
      <c r="E25" s="41"/>
      <c r="F25" s="41"/>
      <c r="G25" s="41"/>
      <c r="H25" s="41"/>
      <c r="I25" s="51"/>
      <c r="J25" s="44"/>
    </row>
    <row r="26" spans="1:8" ht="12.75" customHeight="1">
      <c r="A26" s="55"/>
      <c r="B26" s="41"/>
      <c r="C26" s="41"/>
      <c r="D26" s="41"/>
      <c r="E26" s="41"/>
      <c r="F26" s="41"/>
      <c r="G26" s="41"/>
      <c r="H26" s="41"/>
    </row>
    <row r="27" spans="1:8" ht="12.75">
      <c r="A27" s="110" t="s">
        <v>4</v>
      </c>
      <c r="B27" s="110"/>
      <c r="C27" s="110"/>
      <c r="D27" s="110"/>
      <c r="E27" s="110"/>
      <c r="F27" s="110"/>
      <c r="G27" s="110"/>
      <c r="H27" s="110"/>
    </row>
    <row r="28" spans="1:8" ht="12.75" customHeight="1">
      <c r="A28" s="5"/>
      <c r="B28" s="5"/>
      <c r="C28" s="5"/>
      <c r="D28" s="5"/>
      <c r="E28" s="5"/>
      <c r="F28" s="5"/>
      <c r="G28" s="5"/>
      <c r="H28" s="5"/>
    </row>
    <row r="29" spans="1:10" ht="12.75" customHeight="1">
      <c r="A29" s="32" t="s">
        <v>56</v>
      </c>
      <c r="B29" s="39">
        <f>C29+D29</f>
        <v>1447</v>
      </c>
      <c r="C29" s="39">
        <v>817</v>
      </c>
      <c r="D29" s="39">
        <v>630</v>
      </c>
      <c r="E29" s="39">
        <f>F29+G29</f>
        <v>1462</v>
      </c>
      <c r="F29" s="39">
        <v>852</v>
      </c>
      <c r="G29" s="39">
        <v>610</v>
      </c>
      <c r="H29" s="70">
        <f>B29-E29</f>
        <v>-15</v>
      </c>
      <c r="I29" s="47"/>
      <c r="J29" s="11"/>
    </row>
    <row r="30" spans="1:10" ht="12.75">
      <c r="A30" s="32" t="s">
        <v>57</v>
      </c>
      <c r="B30" s="39">
        <f>C30+D30</f>
        <v>3306</v>
      </c>
      <c r="C30" s="39">
        <v>1616</v>
      </c>
      <c r="D30" s="39">
        <v>1690</v>
      </c>
      <c r="E30" s="39">
        <f>F30+G30</f>
        <v>3185</v>
      </c>
      <c r="F30" s="39">
        <v>1634</v>
      </c>
      <c r="G30" s="39">
        <v>1551</v>
      </c>
      <c r="H30" s="70">
        <f>B30-E30</f>
        <v>121</v>
      </c>
      <c r="I30" s="43"/>
      <c r="J30" s="43"/>
    </row>
    <row r="31" spans="1:10" ht="12.75">
      <c r="A31" s="32" t="s">
        <v>58</v>
      </c>
      <c r="B31" s="39">
        <f>C31+D31</f>
        <v>2672</v>
      </c>
      <c r="C31" s="39">
        <v>992</v>
      </c>
      <c r="D31" s="39">
        <v>1680</v>
      </c>
      <c r="E31" s="39">
        <f>F31+G31</f>
        <v>2654</v>
      </c>
      <c r="F31" s="39">
        <v>1262</v>
      </c>
      <c r="G31" s="39">
        <v>1392</v>
      </c>
      <c r="H31" s="70">
        <f>B31-E31</f>
        <v>18</v>
      </c>
      <c r="I31" s="42"/>
      <c r="J31" s="42"/>
    </row>
    <row r="32" spans="1:10" ht="12.75">
      <c r="A32" s="32" t="s">
        <v>59</v>
      </c>
      <c r="B32" s="39">
        <f>C32+D32</f>
        <v>878</v>
      </c>
      <c r="C32" s="39">
        <v>596</v>
      </c>
      <c r="D32" s="39">
        <v>282</v>
      </c>
      <c r="E32" s="39">
        <f>F32+G32</f>
        <v>951</v>
      </c>
      <c r="F32" s="39">
        <v>602</v>
      </c>
      <c r="G32" s="39">
        <v>349</v>
      </c>
      <c r="H32" s="70">
        <f>B32-E32</f>
        <v>-73</v>
      </c>
      <c r="I32" s="30"/>
      <c r="J32" s="40"/>
    </row>
    <row r="33" spans="1:10" ht="12.75">
      <c r="A33" s="32"/>
      <c r="B33" s="39"/>
      <c r="C33" s="39"/>
      <c r="D33" s="39"/>
      <c r="E33" s="39"/>
      <c r="F33" s="39"/>
      <c r="G33" s="39"/>
      <c r="H33" s="70"/>
      <c r="I33" s="29"/>
      <c r="J33" s="42"/>
    </row>
    <row r="34" spans="1:10" ht="12.75">
      <c r="A34" s="32" t="s">
        <v>61</v>
      </c>
      <c r="B34" s="39">
        <f>SUM(B29:B32)</f>
        <v>8303</v>
      </c>
      <c r="C34" s="39">
        <f>SUM(C29:C33)</f>
        <v>4021</v>
      </c>
      <c r="D34" s="39">
        <f>SUM(D29:D32)</f>
        <v>4282</v>
      </c>
      <c r="E34" s="39">
        <f>SUM(E29:E32)</f>
        <v>8252</v>
      </c>
      <c r="F34" s="39">
        <f>SUM(F29:F32)</f>
        <v>4350</v>
      </c>
      <c r="G34" s="39">
        <f>SUM(G29:G32)</f>
        <v>3902</v>
      </c>
      <c r="H34" s="70">
        <f>B34-E34</f>
        <v>51</v>
      </c>
      <c r="I34" s="29"/>
      <c r="J34" s="42"/>
    </row>
    <row r="35" spans="1:10" ht="12.75">
      <c r="A35" s="32"/>
      <c r="B35" s="39"/>
      <c r="C35" s="39"/>
      <c r="D35" s="39"/>
      <c r="E35" s="39"/>
      <c r="F35" s="39"/>
      <c r="G35" s="39"/>
      <c r="H35" s="70"/>
      <c r="I35" s="30"/>
      <c r="J35" s="42"/>
    </row>
    <row r="36" spans="1:10" ht="12.75">
      <c r="A36" s="32" t="s">
        <v>8</v>
      </c>
      <c r="B36" s="39">
        <f>C36+D36</f>
        <v>2357</v>
      </c>
      <c r="C36" s="39">
        <v>1751</v>
      </c>
      <c r="D36" s="39">
        <v>606</v>
      </c>
      <c r="E36" s="39">
        <f>F36+G36</f>
        <v>2194</v>
      </c>
      <c r="F36" s="39">
        <v>1748</v>
      </c>
      <c r="G36" s="39">
        <v>446</v>
      </c>
      <c r="H36" s="70">
        <f>B36-E36</f>
        <v>163</v>
      </c>
      <c r="I36" s="30"/>
      <c r="J36" s="42"/>
    </row>
    <row r="37" spans="1:11" ht="12.75">
      <c r="A37" s="32" t="s">
        <v>9</v>
      </c>
      <c r="B37" s="39">
        <f aca="true" t="shared" si="4" ref="B37:B48">C37+D37</f>
        <v>3250</v>
      </c>
      <c r="C37" s="39">
        <v>1777</v>
      </c>
      <c r="D37" s="39">
        <v>1473</v>
      </c>
      <c r="E37" s="39">
        <f aca="true" t="shared" si="5" ref="E37:E48">F37+G37</f>
        <v>2857</v>
      </c>
      <c r="F37" s="39">
        <v>1682</v>
      </c>
      <c r="G37" s="39">
        <v>1175</v>
      </c>
      <c r="H37" s="70">
        <f>B37-E37</f>
        <v>393</v>
      </c>
      <c r="I37" s="30"/>
      <c r="J37" s="40"/>
      <c r="K37" s="22"/>
    </row>
    <row r="38" spans="1:10" ht="12.75">
      <c r="A38" s="32" t="s">
        <v>10</v>
      </c>
      <c r="B38" s="39">
        <f t="shared" si="4"/>
        <v>3183</v>
      </c>
      <c r="C38" s="39">
        <v>2157</v>
      </c>
      <c r="D38" s="39">
        <v>1026</v>
      </c>
      <c r="E38" s="39">
        <f t="shared" si="5"/>
        <v>2972</v>
      </c>
      <c r="F38" s="39">
        <v>2165</v>
      </c>
      <c r="G38" s="39">
        <v>807</v>
      </c>
      <c r="H38" s="70">
        <f>B38-E38</f>
        <v>211</v>
      </c>
      <c r="I38" s="30"/>
      <c r="J38" s="42"/>
    </row>
    <row r="39" spans="1:10" ht="12.75">
      <c r="A39" s="32" t="s">
        <v>11</v>
      </c>
      <c r="B39" s="39">
        <f t="shared" si="4"/>
        <v>3709</v>
      </c>
      <c r="C39" s="39">
        <v>2283</v>
      </c>
      <c r="D39" s="39">
        <v>1426</v>
      </c>
      <c r="E39" s="39">
        <f t="shared" si="5"/>
        <v>3287</v>
      </c>
      <c r="F39" s="39">
        <v>2140</v>
      </c>
      <c r="G39" s="39">
        <v>1147</v>
      </c>
      <c r="H39" s="70">
        <f>B39-E39</f>
        <v>422</v>
      </c>
      <c r="I39" s="30"/>
      <c r="J39" s="42"/>
    </row>
    <row r="40" spans="1:10" ht="12.75">
      <c r="A40" s="32"/>
      <c r="B40" s="39"/>
      <c r="C40" s="39"/>
      <c r="D40" s="39"/>
      <c r="E40" s="39">
        <f t="shared" si="5"/>
        <v>0</v>
      </c>
      <c r="F40" s="39"/>
      <c r="G40" s="39"/>
      <c r="H40" s="70"/>
      <c r="I40" s="30"/>
      <c r="J40" s="42"/>
    </row>
    <row r="41" spans="1:10" ht="12.75">
      <c r="A41" s="32" t="s">
        <v>12</v>
      </c>
      <c r="B41" s="39">
        <f t="shared" si="4"/>
        <v>4662</v>
      </c>
      <c r="C41" s="39">
        <v>2355</v>
      </c>
      <c r="D41" s="39">
        <v>2307</v>
      </c>
      <c r="E41" s="39">
        <f t="shared" si="5"/>
        <v>4399</v>
      </c>
      <c r="F41" s="39">
        <v>2454</v>
      </c>
      <c r="G41" s="39">
        <v>1945</v>
      </c>
      <c r="H41" s="71">
        <f>B41-E41</f>
        <v>263</v>
      </c>
      <c r="I41" s="30"/>
      <c r="J41" s="42"/>
    </row>
    <row r="42" spans="1:10" ht="12.75">
      <c r="A42" s="32" t="s">
        <v>13</v>
      </c>
      <c r="B42" s="39">
        <f t="shared" si="4"/>
        <v>2143</v>
      </c>
      <c r="C42" s="39">
        <v>1650</v>
      </c>
      <c r="D42" s="39">
        <v>493</v>
      </c>
      <c r="E42" s="39">
        <f t="shared" si="5"/>
        <v>2068</v>
      </c>
      <c r="F42" s="39">
        <v>1634</v>
      </c>
      <c r="G42" s="39">
        <v>434</v>
      </c>
      <c r="H42" s="71">
        <f>B42-E42</f>
        <v>75</v>
      </c>
      <c r="I42" s="30"/>
      <c r="J42" s="42"/>
    </row>
    <row r="43" spans="1:10" ht="12.75">
      <c r="A43" s="32" t="s">
        <v>14</v>
      </c>
      <c r="B43" s="39">
        <f t="shared" si="4"/>
        <v>4801</v>
      </c>
      <c r="C43" s="39">
        <v>3766</v>
      </c>
      <c r="D43" s="39">
        <v>1035</v>
      </c>
      <c r="E43" s="39">
        <f t="shared" si="5"/>
        <v>4645</v>
      </c>
      <c r="F43" s="39">
        <v>3661</v>
      </c>
      <c r="G43" s="39">
        <v>984</v>
      </c>
      <c r="H43" s="71">
        <f>B43-E43</f>
        <v>156</v>
      </c>
      <c r="I43" s="30"/>
      <c r="J43" s="42"/>
    </row>
    <row r="44" spans="1:11" ht="12.75">
      <c r="A44" s="32" t="s">
        <v>15</v>
      </c>
      <c r="B44" s="39">
        <f t="shared" si="4"/>
        <v>3715</v>
      </c>
      <c r="C44" s="39">
        <v>2935</v>
      </c>
      <c r="D44" s="39">
        <v>780</v>
      </c>
      <c r="E44" s="39">
        <f t="shared" si="5"/>
        <v>3392</v>
      </c>
      <c r="F44" s="39">
        <v>2752</v>
      </c>
      <c r="G44" s="39">
        <v>640</v>
      </c>
      <c r="H44" s="71">
        <f>B44-E44</f>
        <v>323</v>
      </c>
      <c r="I44" s="30"/>
      <c r="J44" s="42"/>
      <c r="K44" s="25"/>
    </row>
    <row r="45" spans="1:10" ht="12.75">
      <c r="A45" s="32"/>
      <c r="B45" s="39"/>
      <c r="C45" s="39"/>
      <c r="D45" s="39"/>
      <c r="E45" s="39">
        <f t="shared" si="5"/>
        <v>0</v>
      </c>
      <c r="F45" s="39"/>
      <c r="G45" s="39"/>
      <c r="H45" s="70"/>
      <c r="I45" s="30"/>
      <c r="J45" s="42"/>
    </row>
    <row r="46" spans="1:10" ht="12.75">
      <c r="A46" s="32" t="s">
        <v>16</v>
      </c>
      <c r="B46" s="39">
        <f t="shared" si="4"/>
        <v>4455</v>
      </c>
      <c r="C46" s="39">
        <v>2562</v>
      </c>
      <c r="D46" s="39">
        <v>1893</v>
      </c>
      <c r="E46" s="39">
        <f t="shared" si="5"/>
        <v>4313</v>
      </c>
      <c r="F46" s="39">
        <v>2665</v>
      </c>
      <c r="G46" s="39">
        <v>1648</v>
      </c>
      <c r="H46" s="70">
        <f>B46-E46</f>
        <v>142</v>
      </c>
      <c r="I46" s="30"/>
      <c r="J46" s="42"/>
    </row>
    <row r="47" spans="1:10" ht="12.75">
      <c r="A47" s="32" t="s">
        <v>17</v>
      </c>
      <c r="B47" s="39">
        <f t="shared" si="4"/>
        <v>2168</v>
      </c>
      <c r="C47" s="39">
        <v>1648</v>
      </c>
      <c r="D47" s="39">
        <v>520</v>
      </c>
      <c r="E47" s="39">
        <f t="shared" si="5"/>
        <v>2188</v>
      </c>
      <c r="F47" s="39">
        <v>1618</v>
      </c>
      <c r="G47" s="39">
        <v>570</v>
      </c>
      <c r="H47" s="70">
        <f>B47-E47</f>
        <v>-20</v>
      </c>
      <c r="I47" s="30"/>
      <c r="J47" s="42"/>
    </row>
    <row r="48" spans="1:10" ht="12.75">
      <c r="A48" s="32" t="s">
        <v>18</v>
      </c>
      <c r="B48" s="39">
        <f t="shared" si="4"/>
        <v>3813</v>
      </c>
      <c r="C48" s="39">
        <v>1860</v>
      </c>
      <c r="D48" s="39">
        <v>1953</v>
      </c>
      <c r="E48" s="39">
        <f t="shared" si="5"/>
        <v>3351</v>
      </c>
      <c r="F48" s="39">
        <v>1896</v>
      </c>
      <c r="G48" s="39">
        <v>1455</v>
      </c>
      <c r="H48" s="70">
        <f>B48-E48</f>
        <v>462</v>
      </c>
      <c r="I48" s="30"/>
      <c r="J48" s="42"/>
    </row>
    <row r="49" spans="1:10" ht="12.75">
      <c r="A49" s="32"/>
      <c r="B49" s="39"/>
      <c r="C49" s="39"/>
      <c r="D49" s="39"/>
      <c r="E49" s="39"/>
      <c r="F49" s="39"/>
      <c r="G49" s="39"/>
      <c r="H49" s="70"/>
      <c r="I49" s="30"/>
      <c r="J49" s="42"/>
    </row>
    <row r="50" spans="1:10" ht="12.75">
      <c r="A50" s="32" t="s">
        <v>60</v>
      </c>
      <c r="B50" s="39">
        <f aca="true" t="shared" si="6" ref="B50:H50">SUM(B36:B48)</f>
        <v>38256</v>
      </c>
      <c r="C50" s="39">
        <f t="shared" si="6"/>
        <v>24744</v>
      </c>
      <c r="D50" s="39">
        <f t="shared" si="6"/>
        <v>13512</v>
      </c>
      <c r="E50" s="39">
        <f t="shared" si="6"/>
        <v>35666</v>
      </c>
      <c r="F50" s="39">
        <f t="shared" si="6"/>
        <v>24415</v>
      </c>
      <c r="G50" s="39">
        <f t="shared" si="6"/>
        <v>11251</v>
      </c>
      <c r="H50" s="70">
        <f t="shared" si="6"/>
        <v>2590</v>
      </c>
      <c r="I50" s="30"/>
      <c r="J50" s="42"/>
    </row>
    <row r="51" spans="1:10" ht="12.75">
      <c r="A51" s="32"/>
      <c r="B51" s="39"/>
      <c r="C51" s="39"/>
      <c r="D51" s="39"/>
      <c r="E51" s="39"/>
      <c r="F51" s="39"/>
      <c r="G51" s="39"/>
      <c r="H51" s="70"/>
      <c r="I51" s="30"/>
      <c r="J51" s="42"/>
    </row>
    <row r="52" spans="1:10" ht="12.75">
      <c r="A52" s="33" t="s">
        <v>4</v>
      </c>
      <c r="B52" s="41">
        <f>B34+B50</f>
        <v>46559</v>
      </c>
      <c r="C52" s="41">
        <f aca="true" t="shared" si="7" ref="C52:H52">C34+C50</f>
        <v>28765</v>
      </c>
      <c r="D52" s="41">
        <f t="shared" si="7"/>
        <v>17794</v>
      </c>
      <c r="E52" s="41">
        <f t="shared" si="7"/>
        <v>43918</v>
      </c>
      <c r="F52" s="41">
        <f t="shared" si="7"/>
        <v>28765</v>
      </c>
      <c r="G52" s="41">
        <f t="shared" si="7"/>
        <v>15153</v>
      </c>
      <c r="H52" s="72">
        <f t="shared" si="7"/>
        <v>2641</v>
      </c>
      <c r="I52" s="22"/>
      <c r="J52" s="42"/>
    </row>
    <row r="53" spans="1:10" ht="12.75">
      <c r="A53" s="5"/>
      <c r="B53" s="5"/>
      <c r="C53" s="5"/>
      <c r="D53" s="5"/>
      <c r="E53" s="5"/>
      <c r="F53" s="5"/>
      <c r="G53" s="5"/>
      <c r="H53" s="5"/>
      <c r="I53" s="27"/>
      <c r="J53" s="42"/>
    </row>
    <row r="54" spans="1:10" ht="12" customHeight="1">
      <c r="A54" s="62"/>
      <c r="B54" s="5"/>
      <c r="C54" s="5"/>
      <c r="D54" s="5"/>
      <c r="E54" s="5"/>
      <c r="F54" s="5"/>
      <c r="G54" s="5"/>
      <c r="H54" s="5"/>
      <c r="I54" s="46"/>
      <c r="J54" s="42"/>
    </row>
    <row r="55" spans="1:10" s="7" customFormat="1" ht="12.75">
      <c r="A55" s="63" t="s">
        <v>71</v>
      </c>
      <c r="B55"/>
      <c r="C55"/>
      <c r="D55"/>
      <c r="E55"/>
      <c r="F55"/>
      <c r="G55"/>
      <c r="H55"/>
      <c r="I55" s="28"/>
      <c r="J55" s="44"/>
    </row>
    <row r="56" spans="1:10" ht="9" customHeight="1">
      <c r="A56" s="61" t="s">
        <v>72</v>
      </c>
      <c r="I56" s="42"/>
      <c r="J56" s="42"/>
    </row>
    <row r="57" ht="13.5">
      <c r="A57" s="13"/>
    </row>
  </sheetData>
  <mergeCells count="6">
    <mergeCell ref="A1:H1"/>
    <mergeCell ref="A7:H7"/>
    <mergeCell ref="A27:H27"/>
    <mergeCell ref="A4:A5"/>
    <mergeCell ref="B4:D4"/>
    <mergeCell ref="E4:G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19.57421875" style="0" customWidth="1"/>
    <col min="2" max="4" width="7.00390625" style="0" customWidth="1"/>
    <col min="5" max="7" width="6.421875" style="0" customWidth="1"/>
    <col min="8" max="10" width="7.00390625" style="0" customWidth="1"/>
    <col min="11" max="13" width="6.421875" style="0" customWidth="1"/>
  </cols>
  <sheetData>
    <row r="1" spans="1:13" ht="11.25" customHeight="1">
      <c r="A1" s="97" t="s">
        <v>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ht="12.75" customHeight="1">
      <c r="A2" s="1"/>
    </row>
    <row r="3" spans="1:1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 customHeight="1">
      <c r="A4" s="111" t="s">
        <v>73</v>
      </c>
      <c r="B4" s="115" t="s">
        <v>19</v>
      </c>
      <c r="C4" s="115"/>
      <c r="D4" s="115"/>
      <c r="E4" s="115"/>
      <c r="F4" s="115"/>
      <c r="G4" s="116"/>
      <c r="H4" s="117" t="s">
        <v>20</v>
      </c>
      <c r="I4" s="115"/>
      <c r="J4" s="115"/>
      <c r="K4" s="115"/>
      <c r="L4" s="115"/>
      <c r="M4" s="115"/>
    </row>
    <row r="5" spans="1:13" ht="13.5">
      <c r="A5" s="114"/>
      <c r="B5" s="115" t="s">
        <v>29</v>
      </c>
      <c r="C5" s="115"/>
      <c r="D5" s="116"/>
      <c r="E5" s="118" t="s">
        <v>1</v>
      </c>
      <c r="F5" s="119"/>
      <c r="G5" s="119"/>
      <c r="H5" s="120" t="s">
        <v>29</v>
      </c>
      <c r="I5" s="121"/>
      <c r="J5" s="122"/>
      <c r="K5" s="117" t="s">
        <v>1</v>
      </c>
      <c r="L5" s="115"/>
      <c r="M5" s="115"/>
    </row>
    <row r="6" spans="1:13" ht="12.75">
      <c r="A6" s="112"/>
      <c r="B6" s="19" t="s">
        <v>76</v>
      </c>
      <c r="C6" s="20" t="s">
        <v>77</v>
      </c>
      <c r="D6" s="18" t="s">
        <v>78</v>
      </c>
      <c r="E6" s="20" t="s">
        <v>76</v>
      </c>
      <c r="F6" s="20" t="s">
        <v>77</v>
      </c>
      <c r="G6" s="20" t="s">
        <v>78</v>
      </c>
      <c r="H6" s="20" t="s">
        <v>76</v>
      </c>
      <c r="I6" s="20" t="s">
        <v>77</v>
      </c>
      <c r="J6" s="20" t="s">
        <v>78</v>
      </c>
      <c r="K6" s="21" t="s">
        <v>76</v>
      </c>
      <c r="L6" s="21" t="s">
        <v>77</v>
      </c>
      <c r="M6" s="17" t="s">
        <v>78</v>
      </c>
    </row>
    <row r="7" spans="1:13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ht="12.75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12.75">
      <c r="A9" s="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32" t="s">
        <v>22</v>
      </c>
      <c r="B10" s="82">
        <v>2246</v>
      </c>
      <c r="C10" s="82">
        <v>1966</v>
      </c>
      <c r="D10" s="82">
        <v>2813</v>
      </c>
      <c r="E10" s="83">
        <v>901</v>
      </c>
      <c r="F10" s="83">
        <v>870</v>
      </c>
      <c r="G10" s="83">
        <v>1200</v>
      </c>
      <c r="H10" s="82">
        <v>2275</v>
      </c>
      <c r="I10" s="82">
        <v>2112</v>
      </c>
      <c r="J10" s="82">
        <v>2566</v>
      </c>
      <c r="K10" s="82">
        <v>854</v>
      </c>
      <c r="L10" s="82">
        <v>861</v>
      </c>
      <c r="M10" s="82">
        <v>960</v>
      </c>
    </row>
    <row r="11" spans="1:13" ht="12.75">
      <c r="A11" s="32"/>
      <c r="B11" s="82"/>
      <c r="C11" s="82"/>
      <c r="D11" s="82"/>
      <c r="E11" s="83"/>
      <c r="F11" s="83"/>
      <c r="G11" s="83"/>
      <c r="H11" s="82"/>
      <c r="I11" s="82"/>
      <c r="J11" s="82"/>
      <c r="K11" s="82"/>
      <c r="L11" s="82"/>
      <c r="M11" s="82"/>
    </row>
    <row r="12" spans="1:13" ht="12.75">
      <c r="A12" s="32" t="s">
        <v>23</v>
      </c>
      <c r="B12" s="82">
        <v>2143</v>
      </c>
      <c r="C12" s="82">
        <v>2040</v>
      </c>
      <c r="D12" s="82">
        <v>2617</v>
      </c>
      <c r="E12" s="83">
        <v>892</v>
      </c>
      <c r="F12" s="83">
        <v>797</v>
      </c>
      <c r="G12" s="83">
        <v>1079</v>
      </c>
      <c r="H12" s="82">
        <v>2158</v>
      </c>
      <c r="I12" s="82">
        <v>2072</v>
      </c>
      <c r="J12" s="82">
        <v>2905</v>
      </c>
      <c r="K12" s="82">
        <v>860</v>
      </c>
      <c r="L12" s="82">
        <v>815</v>
      </c>
      <c r="M12" s="82">
        <v>1289</v>
      </c>
    </row>
    <row r="13" spans="1:13" ht="12.75">
      <c r="A13" s="32"/>
      <c r="B13" s="82"/>
      <c r="C13" s="82"/>
      <c r="D13" s="82"/>
      <c r="E13" s="83"/>
      <c r="F13" s="83"/>
      <c r="G13" s="83"/>
      <c r="H13" s="82"/>
      <c r="I13" s="82"/>
      <c r="J13" s="82"/>
      <c r="K13" s="82"/>
      <c r="L13" s="82"/>
      <c r="M13" s="82"/>
    </row>
    <row r="14" spans="1:13" ht="12.75">
      <c r="A14" s="32" t="s">
        <v>24</v>
      </c>
      <c r="B14" s="82">
        <v>2333</v>
      </c>
      <c r="C14" s="82">
        <v>2042</v>
      </c>
      <c r="D14" s="82">
        <v>2419</v>
      </c>
      <c r="E14" s="83">
        <v>950</v>
      </c>
      <c r="F14" s="83">
        <v>800</v>
      </c>
      <c r="G14" s="83">
        <v>954</v>
      </c>
      <c r="H14" s="82">
        <v>2492</v>
      </c>
      <c r="I14" s="82">
        <v>1900</v>
      </c>
      <c r="J14" s="82">
        <v>2518</v>
      </c>
      <c r="K14" s="82">
        <v>1234</v>
      </c>
      <c r="L14" s="82">
        <v>799</v>
      </c>
      <c r="M14" s="82">
        <v>1076</v>
      </c>
    </row>
    <row r="15" spans="1:13" ht="12.75">
      <c r="A15" s="32"/>
      <c r="B15" s="82"/>
      <c r="C15" s="82"/>
      <c r="D15" s="82"/>
      <c r="E15" s="83"/>
      <c r="F15" s="83"/>
      <c r="G15" s="83"/>
      <c r="H15" s="82"/>
      <c r="I15" s="82"/>
      <c r="J15" s="82"/>
      <c r="K15" s="82"/>
      <c r="L15" s="82"/>
      <c r="M15" s="82"/>
    </row>
    <row r="16" spans="1:13" ht="12.75">
      <c r="A16" s="32" t="s">
        <v>25</v>
      </c>
      <c r="B16" s="82">
        <v>3011</v>
      </c>
      <c r="C16" s="82">
        <v>2684</v>
      </c>
      <c r="D16" s="82">
        <v>3288</v>
      </c>
      <c r="E16" s="83">
        <v>1250</v>
      </c>
      <c r="F16" s="83">
        <v>1067</v>
      </c>
      <c r="G16" s="83">
        <v>1290</v>
      </c>
      <c r="H16" s="82">
        <v>2960</v>
      </c>
      <c r="I16" s="82">
        <v>2522</v>
      </c>
      <c r="J16" s="82">
        <v>3554</v>
      </c>
      <c r="K16" s="82">
        <v>1036</v>
      </c>
      <c r="L16" s="82">
        <v>853</v>
      </c>
      <c r="M16" s="82">
        <v>1480</v>
      </c>
    </row>
    <row r="17" spans="1:13" ht="12.75">
      <c r="A17" s="32"/>
      <c r="B17" s="82"/>
      <c r="C17" s="82"/>
      <c r="D17" s="82"/>
      <c r="E17" s="83"/>
      <c r="F17" s="83"/>
      <c r="G17" s="83"/>
      <c r="H17" s="82"/>
      <c r="I17" s="82"/>
      <c r="J17" s="82"/>
      <c r="K17" s="82"/>
      <c r="L17" s="82"/>
      <c r="M17" s="82"/>
    </row>
    <row r="18" spans="1:13" ht="12.75">
      <c r="A18" s="32" t="s">
        <v>26</v>
      </c>
      <c r="B18" s="82">
        <v>2863</v>
      </c>
      <c r="C18" s="82">
        <v>2499</v>
      </c>
      <c r="D18" s="82">
        <v>3280</v>
      </c>
      <c r="E18" s="83">
        <v>936</v>
      </c>
      <c r="F18" s="83">
        <v>898</v>
      </c>
      <c r="G18" s="83">
        <v>1251</v>
      </c>
      <c r="H18" s="82">
        <v>2772</v>
      </c>
      <c r="I18" s="82">
        <v>2468</v>
      </c>
      <c r="J18" s="82">
        <v>3381</v>
      </c>
      <c r="K18" s="82">
        <v>954</v>
      </c>
      <c r="L18" s="82">
        <v>983</v>
      </c>
      <c r="M18" s="82">
        <v>1376</v>
      </c>
    </row>
    <row r="19" spans="1:13" ht="12.75">
      <c r="A19" s="32"/>
      <c r="B19" s="82"/>
      <c r="C19" s="82"/>
      <c r="D19" s="82"/>
      <c r="E19" s="83"/>
      <c r="F19" s="83"/>
      <c r="G19" s="83"/>
      <c r="H19" s="82"/>
      <c r="I19" s="82"/>
      <c r="J19" s="82"/>
      <c r="K19" s="82"/>
      <c r="L19" s="82"/>
      <c r="M19" s="82"/>
    </row>
    <row r="20" spans="1:13" ht="12.75">
      <c r="A20" s="32" t="s">
        <v>27</v>
      </c>
      <c r="B20" s="82">
        <v>785</v>
      </c>
      <c r="C20" s="82">
        <v>740</v>
      </c>
      <c r="D20" s="82">
        <v>1014</v>
      </c>
      <c r="E20" s="83">
        <v>319</v>
      </c>
      <c r="F20" s="83">
        <v>294</v>
      </c>
      <c r="G20" s="83">
        <v>335</v>
      </c>
      <c r="H20" s="82">
        <v>763</v>
      </c>
      <c r="I20" s="82">
        <v>749</v>
      </c>
      <c r="J20" s="82">
        <v>986</v>
      </c>
      <c r="K20" s="82">
        <v>325</v>
      </c>
      <c r="L20" s="82">
        <v>278</v>
      </c>
      <c r="M20" s="82">
        <v>375</v>
      </c>
    </row>
    <row r="21" spans="1:13" ht="12.75">
      <c r="A21" s="32"/>
      <c r="B21" s="82"/>
      <c r="C21" s="82"/>
      <c r="D21" s="82"/>
      <c r="E21" s="83"/>
      <c r="F21" s="83"/>
      <c r="G21" s="83"/>
      <c r="H21" s="82"/>
      <c r="I21" s="82"/>
      <c r="J21" s="82"/>
      <c r="K21" s="82"/>
      <c r="L21" s="82"/>
      <c r="M21" s="82"/>
    </row>
    <row r="22" spans="1:13" ht="12.75">
      <c r="A22" s="32" t="s">
        <v>28</v>
      </c>
      <c r="B22" s="82">
        <v>1699</v>
      </c>
      <c r="C22" s="82">
        <v>1516</v>
      </c>
      <c r="D22" s="82">
        <v>2019</v>
      </c>
      <c r="E22" s="83">
        <v>745</v>
      </c>
      <c r="F22" s="83">
        <v>592</v>
      </c>
      <c r="G22" s="83">
        <v>838</v>
      </c>
      <c r="H22" s="82">
        <v>1576</v>
      </c>
      <c r="I22" s="82">
        <v>1553</v>
      </c>
      <c r="J22" s="82">
        <v>2047</v>
      </c>
      <c r="K22" s="82">
        <v>646</v>
      </c>
      <c r="L22" s="82">
        <v>618</v>
      </c>
      <c r="M22" s="82">
        <v>898</v>
      </c>
    </row>
    <row r="23" spans="1:13" ht="12.75" customHeight="1">
      <c r="A23" s="32"/>
      <c r="B23" s="82"/>
      <c r="C23" s="82"/>
      <c r="D23" s="82"/>
      <c r="E23" s="83"/>
      <c r="F23" s="83"/>
      <c r="G23" s="83"/>
      <c r="H23" s="82"/>
      <c r="I23" s="82"/>
      <c r="J23" s="82"/>
      <c r="K23" s="82"/>
      <c r="L23" s="82"/>
      <c r="M23" s="82"/>
    </row>
    <row r="24" spans="1:13" ht="12.75">
      <c r="A24" s="33" t="s">
        <v>0</v>
      </c>
      <c r="B24" s="84">
        <f aca="true" t="shared" si="0" ref="B24:M24">SUM(B10:B23)</f>
        <v>15080</v>
      </c>
      <c r="C24" s="84">
        <f t="shared" si="0"/>
        <v>13487</v>
      </c>
      <c r="D24" s="84">
        <f t="shared" si="0"/>
        <v>17450</v>
      </c>
      <c r="E24" s="84">
        <f t="shared" si="0"/>
        <v>5993</v>
      </c>
      <c r="F24" s="84">
        <f t="shared" si="0"/>
        <v>5318</v>
      </c>
      <c r="G24" s="84">
        <f t="shared" si="0"/>
        <v>6947</v>
      </c>
      <c r="H24" s="84">
        <f>SUM(H10:H22)</f>
        <v>14996</v>
      </c>
      <c r="I24" s="84">
        <f>SUM(I10:I22)</f>
        <v>13376</v>
      </c>
      <c r="J24" s="84">
        <f>SUM(J10:J22)</f>
        <v>17957</v>
      </c>
      <c r="K24" s="84">
        <f t="shared" si="0"/>
        <v>5909</v>
      </c>
      <c r="L24" s="84">
        <f t="shared" si="0"/>
        <v>5207</v>
      </c>
      <c r="M24" s="84">
        <f t="shared" si="0"/>
        <v>7454</v>
      </c>
    </row>
    <row r="25" ht="12.75" customHeight="1">
      <c r="A25" s="62"/>
    </row>
    <row r="26" ht="12.75" customHeight="1">
      <c r="A26" s="13"/>
    </row>
    <row r="28" spans="1:13" ht="12.75" customHeight="1">
      <c r="A28" s="113" t="s">
        <v>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32" t="s">
        <v>56</v>
      </c>
      <c r="B30" s="66">
        <v>509</v>
      </c>
      <c r="C30" s="66">
        <v>408</v>
      </c>
      <c r="D30" s="66">
        <v>530</v>
      </c>
      <c r="E30" s="66">
        <v>241</v>
      </c>
      <c r="F30" s="66">
        <v>198</v>
      </c>
      <c r="G30" s="66">
        <v>191</v>
      </c>
      <c r="H30" s="66">
        <v>538</v>
      </c>
      <c r="I30" s="66">
        <v>418</v>
      </c>
      <c r="J30" s="66">
        <v>506</v>
      </c>
      <c r="K30" s="66">
        <v>256</v>
      </c>
      <c r="L30" s="66">
        <v>151</v>
      </c>
      <c r="M30" s="66">
        <v>203</v>
      </c>
    </row>
    <row r="31" spans="1:13" ht="12.75">
      <c r="A31" s="32" t="s">
        <v>57</v>
      </c>
      <c r="B31" s="66">
        <v>1113</v>
      </c>
      <c r="C31" s="66">
        <v>1044</v>
      </c>
      <c r="D31" s="66">
        <v>1149</v>
      </c>
      <c r="E31" s="66">
        <v>599</v>
      </c>
      <c r="F31" s="66">
        <v>521</v>
      </c>
      <c r="G31" s="66">
        <v>570</v>
      </c>
      <c r="H31" s="66">
        <v>1022</v>
      </c>
      <c r="I31" s="66">
        <v>1001</v>
      </c>
      <c r="J31" s="66">
        <v>1162</v>
      </c>
      <c r="K31" s="66">
        <v>503</v>
      </c>
      <c r="L31" s="66">
        <v>442</v>
      </c>
      <c r="M31" s="66">
        <v>606</v>
      </c>
    </row>
    <row r="32" spans="1:13" ht="12.75">
      <c r="A32" s="32" t="s">
        <v>58</v>
      </c>
      <c r="B32" s="66">
        <v>811</v>
      </c>
      <c r="C32" s="66">
        <v>857</v>
      </c>
      <c r="D32" s="66">
        <v>1004</v>
      </c>
      <c r="E32" s="66">
        <v>508</v>
      </c>
      <c r="F32" s="66">
        <v>525</v>
      </c>
      <c r="G32" s="66">
        <v>647</v>
      </c>
      <c r="H32" s="66">
        <v>834</v>
      </c>
      <c r="I32" s="66">
        <v>821</v>
      </c>
      <c r="J32" s="66">
        <v>999</v>
      </c>
      <c r="K32" s="66">
        <v>423</v>
      </c>
      <c r="L32" s="66">
        <v>434</v>
      </c>
      <c r="M32" s="66">
        <v>535</v>
      </c>
    </row>
    <row r="33" spans="1:13" ht="12.75">
      <c r="A33" s="32" t="s">
        <v>59</v>
      </c>
      <c r="B33" s="66">
        <v>237</v>
      </c>
      <c r="C33" s="66">
        <v>347</v>
      </c>
      <c r="D33" s="66">
        <v>294</v>
      </c>
      <c r="E33" s="66">
        <v>72</v>
      </c>
      <c r="F33" s="66">
        <v>115</v>
      </c>
      <c r="G33" s="66">
        <v>95</v>
      </c>
      <c r="H33" s="66">
        <v>316</v>
      </c>
      <c r="I33" s="66">
        <v>278</v>
      </c>
      <c r="J33" s="66">
        <v>357</v>
      </c>
      <c r="K33" s="66">
        <v>110</v>
      </c>
      <c r="L33" s="66">
        <v>112</v>
      </c>
      <c r="M33" s="66">
        <v>127</v>
      </c>
    </row>
    <row r="34" spans="1:13" ht="12.75">
      <c r="A34" s="32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ht="12.75">
      <c r="A35" s="32" t="s">
        <v>83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1:13" ht="12.75">
      <c r="A36" s="32" t="s">
        <v>84</v>
      </c>
      <c r="B36" s="66">
        <f>SUM(B30:B35)</f>
        <v>2670</v>
      </c>
      <c r="C36" s="66">
        <f>SUM(C30:C35)</f>
        <v>2656</v>
      </c>
      <c r="D36" s="66">
        <f aca="true" t="shared" si="1" ref="D36:M36">SUM(D30:D33)</f>
        <v>2977</v>
      </c>
      <c r="E36" s="66">
        <f t="shared" si="1"/>
        <v>1420</v>
      </c>
      <c r="F36" s="66">
        <f t="shared" si="1"/>
        <v>1359</v>
      </c>
      <c r="G36" s="66">
        <f t="shared" si="1"/>
        <v>1503</v>
      </c>
      <c r="H36" s="66">
        <f t="shared" si="1"/>
        <v>2710</v>
      </c>
      <c r="I36" s="66">
        <f t="shared" si="1"/>
        <v>2518</v>
      </c>
      <c r="J36" s="66">
        <f t="shared" si="1"/>
        <v>3024</v>
      </c>
      <c r="K36" s="66">
        <f t="shared" si="1"/>
        <v>1292</v>
      </c>
      <c r="L36" s="66">
        <f t="shared" si="1"/>
        <v>1139</v>
      </c>
      <c r="M36" s="66">
        <f t="shared" si="1"/>
        <v>1471</v>
      </c>
    </row>
    <row r="37" spans="1:13" ht="12.75">
      <c r="A37" s="3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12.75">
      <c r="A38" s="32" t="s">
        <v>8</v>
      </c>
      <c r="B38" s="66">
        <v>765</v>
      </c>
      <c r="C38" s="66">
        <v>705</v>
      </c>
      <c r="D38" s="66">
        <v>887</v>
      </c>
      <c r="E38" s="66">
        <v>186</v>
      </c>
      <c r="F38" s="66">
        <v>178</v>
      </c>
      <c r="G38" s="66">
        <v>242</v>
      </c>
      <c r="H38" s="66">
        <v>754</v>
      </c>
      <c r="I38" s="66">
        <v>664</v>
      </c>
      <c r="J38" s="66">
        <v>776</v>
      </c>
      <c r="K38" s="66">
        <v>149</v>
      </c>
      <c r="L38" s="66">
        <v>136</v>
      </c>
      <c r="M38" s="66">
        <v>161</v>
      </c>
    </row>
    <row r="39" spans="1:13" ht="12.75">
      <c r="A39" s="32" t="s">
        <v>9</v>
      </c>
      <c r="B39" s="66">
        <v>1082</v>
      </c>
      <c r="C39" s="66">
        <v>1028</v>
      </c>
      <c r="D39" s="66">
        <v>1140</v>
      </c>
      <c r="E39" s="66">
        <v>492</v>
      </c>
      <c r="F39" s="66">
        <v>434</v>
      </c>
      <c r="G39" s="66">
        <v>547</v>
      </c>
      <c r="H39" s="66">
        <v>896</v>
      </c>
      <c r="I39" s="66">
        <v>905</v>
      </c>
      <c r="J39" s="66">
        <v>1056</v>
      </c>
      <c r="K39" s="66">
        <v>360</v>
      </c>
      <c r="L39" s="66">
        <v>349</v>
      </c>
      <c r="M39" s="66">
        <v>466</v>
      </c>
    </row>
    <row r="40" spans="1:13" ht="12.75">
      <c r="A40" s="32" t="s">
        <v>10</v>
      </c>
      <c r="B40" s="66">
        <v>1017</v>
      </c>
      <c r="C40" s="66">
        <v>929</v>
      </c>
      <c r="D40" s="66">
        <v>1237</v>
      </c>
      <c r="E40" s="66">
        <v>349</v>
      </c>
      <c r="F40" s="66">
        <v>268</v>
      </c>
      <c r="G40" s="66">
        <v>409</v>
      </c>
      <c r="H40" s="66">
        <v>953</v>
      </c>
      <c r="I40" s="66">
        <v>864</v>
      </c>
      <c r="J40" s="66">
        <v>1155</v>
      </c>
      <c r="K40" s="66">
        <v>268</v>
      </c>
      <c r="L40" s="66">
        <v>220</v>
      </c>
      <c r="M40" s="66">
        <v>319</v>
      </c>
    </row>
    <row r="41" spans="1:13" ht="12.75">
      <c r="A41" s="32" t="s">
        <v>11</v>
      </c>
      <c r="B41" s="66">
        <v>1212</v>
      </c>
      <c r="C41" s="66">
        <v>1147</v>
      </c>
      <c r="D41" s="66">
        <v>1350</v>
      </c>
      <c r="E41" s="66">
        <v>470</v>
      </c>
      <c r="F41" s="66">
        <v>410</v>
      </c>
      <c r="G41" s="66">
        <v>546</v>
      </c>
      <c r="H41" s="66">
        <v>1141</v>
      </c>
      <c r="I41" s="66">
        <v>1056</v>
      </c>
      <c r="J41" s="66">
        <v>1090</v>
      </c>
      <c r="K41" s="66">
        <v>444</v>
      </c>
      <c r="L41" s="66">
        <v>349</v>
      </c>
      <c r="M41" s="66">
        <v>354</v>
      </c>
    </row>
    <row r="42" spans="1:13" ht="12.75">
      <c r="A42" s="32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12.75">
      <c r="A43" s="32" t="s">
        <v>12</v>
      </c>
      <c r="B43" s="66">
        <v>1451</v>
      </c>
      <c r="C43" s="66">
        <v>1394</v>
      </c>
      <c r="D43" s="66">
        <v>1817</v>
      </c>
      <c r="E43" s="66">
        <v>677</v>
      </c>
      <c r="F43" s="66">
        <v>683</v>
      </c>
      <c r="G43" s="66">
        <v>947</v>
      </c>
      <c r="H43" s="66">
        <v>1483</v>
      </c>
      <c r="I43" s="66">
        <v>1353</v>
      </c>
      <c r="J43" s="66">
        <v>1563</v>
      </c>
      <c r="K43" s="66">
        <v>650</v>
      </c>
      <c r="L43" s="66">
        <v>593</v>
      </c>
      <c r="M43" s="66">
        <v>702</v>
      </c>
    </row>
    <row r="44" spans="1:13" ht="12.75">
      <c r="A44" s="32" t="s">
        <v>13</v>
      </c>
      <c r="B44" s="66">
        <v>759</v>
      </c>
      <c r="C44" s="66">
        <v>621</v>
      </c>
      <c r="D44" s="66">
        <v>763</v>
      </c>
      <c r="E44" s="66">
        <v>172</v>
      </c>
      <c r="F44" s="66">
        <v>135</v>
      </c>
      <c r="G44" s="66">
        <v>186</v>
      </c>
      <c r="H44" s="66">
        <v>676</v>
      </c>
      <c r="I44" s="66">
        <v>649</v>
      </c>
      <c r="J44" s="66">
        <v>743</v>
      </c>
      <c r="K44" s="66">
        <v>170</v>
      </c>
      <c r="L44" s="66">
        <v>135</v>
      </c>
      <c r="M44" s="66">
        <v>129</v>
      </c>
    </row>
    <row r="45" spans="1:13" ht="12.75">
      <c r="A45" s="32" t="s">
        <v>14</v>
      </c>
      <c r="B45" s="66">
        <v>1606</v>
      </c>
      <c r="C45" s="66">
        <v>1454</v>
      </c>
      <c r="D45" s="66">
        <v>1741</v>
      </c>
      <c r="E45" s="66">
        <v>368</v>
      </c>
      <c r="F45" s="66">
        <v>291</v>
      </c>
      <c r="G45" s="66">
        <v>376</v>
      </c>
      <c r="H45" s="66">
        <v>1572</v>
      </c>
      <c r="I45" s="66">
        <v>1398</v>
      </c>
      <c r="J45" s="66">
        <v>1675</v>
      </c>
      <c r="K45" s="66">
        <v>372</v>
      </c>
      <c r="L45" s="66">
        <v>267</v>
      </c>
      <c r="M45" s="66">
        <v>345</v>
      </c>
    </row>
    <row r="46" spans="1:13" ht="12.75">
      <c r="A46" s="32" t="s">
        <v>15</v>
      </c>
      <c r="B46" s="66">
        <v>1286</v>
      </c>
      <c r="C46" s="66">
        <v>1159</v>
      </c>
      <c r="D46" s="66">
        <v>1270</v>
      </c>
      <c r="E46" s="66">
        <v>259</v>
      </c>
      <c r="F46" s="66">
        <v>227</v>
      </c>
      <c r="G46" s="66">
        <v>294</v>
      </c>
      <c r="H46" s="66">
        <v>1175</v>
      </c>
      <c r="I46" s="66">
        <v>1049</v>
      </c>
      <c r="J46" s="66">
        <v>1168</v>
      </c>
      <c r="K46" s="66">
        <v>206</v>
      </c>
      <c r="L46" s="66">
        <v>190</v>
      </c>
      <c r="M46" s="66">
        <v>244</v>
      </c>
    </row>
    <row r="47" spans="1:13" ht="12.75">
      <c r="A47" s="32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</row>
    <row r="48" spans="1:13" ht="12.75">
      <c r="A48" s="32" t="s">
        <v>16</v>
      </c>
      <c r="B48" s="66">
        <v>1451</v>
      </c>
      <c r="C48" s="66">
        <v>1334</v>
      </c>
      <c r="D48" s="66">
        <v>1670</v>
      </c>
      <c r="E48" s="66">
        <v>600</v>
      </c>
      <c r="F48" s="66">
        <v>539</v>
      </c>
      <c r="G48" s="66">
        <v>754</v>
      </c>
      <c r="H48" s="66">
        <v>1424</v>
      </c>
      <c r="I48" s="66">
        <v>1319</v>
      </c>
      <c r="J48" s="66">
        <v>1570</v>
      </c>
      <c r="K48" s="66">
        <v>542</v>
      </c>
      <c r="L48" s="66">
        <v>481</v>
      </c>
      <c r="M48" s="66">
        <v>625</v>
      </c>
    </row>
    <row r="49" spans="1:13" ht="12.75">
      <c r="A49" s="32" t="s">
        <v>17</v>
      </c>
      <c r="B49" s="66">
        <v>689</v>
      </c>
      <c r="C49" s="66">
        <v>732</v>
      </c>
      <c r="D49" s="66">
        <v>747</v>
      </c>
      <c r="E49" s="66">
        <v>143</v>
      </c>
      <c r="F49" s="66">
        <v>199</v>
      </c>
      <c r="G49" s="66">
        <v>178</v>
      </c>
      <c r="H49" s="66">
        <v>718</v>
      </c>
      <c r="I49" s="66">
        <v>656</v>
      </c>
      <c r="J49" s="66">
        <v>814</v>
      </c>
      <c r="K49" s="66">
        <v>203</v>
      </c>
      <c r="L49" s="66">
        <v>169</v>
      </c>
      <c r="M49" s="66">
        <v>198</v>
      </c>
    </row>
    <row r="50" spans="1:13" ht="12.75">
      <c r="A50" s="32" t="s">
        <v>18</v>
      </c>
      <c r="B50" s="66">
        <v>1273</v>
      </c>
      <c r="C50" s="66">
        <v>1101</v>
      </c>
      <c r="D50" s="66">
        <v>1439</v>
      </c>
      <c r="E50" s="66">
        <v>643</v>
      </c>
      <c r="F50" s="66">
        <v>560</v>
      </c>
      <c r="G50" s="66">
        <v>750</v>
      </c>
      <c r="H50" s="66">
        <v>1095</v>
      </c>
      <c r="I50" s="66">
        <v>994</v>
      </c>
      <c r="J50" s="66">
        <v>1262</v>
      </c>
      <c r="K50" s="66">
        <v>459</v>
      </c>
      <c r="L50" s="66">
        <v>420</v>
      </c>
      <c r="M50" s="66">
        <v>576</v>
      </c>
    </row>
    <row r="51" spans="1:13" ht="12.75">
      <c r="A51" s="32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ht="12.75">
      <c r="A52" s="32" t="s">
        <v>60</v>
      </c>
      <c r="B52" s="66">
        <f>SUM(B38:B51)</f>
        <v>12591</v>
      </c>
      <c r="C52" s="66">
        <f aca="true" t="shared" si="2" ref="C52:M52">SUM(C38:C51)</f>
        <v>11604</v>
      </c>
      <c r="D52" s="66">
        <f t="shared" si="2"/>
        <v>14061</v>
      </c>
      <c r="E52" s="66">
        <f t="shared" si="2"/>
        <v>4359</v>
      </c>
      <c r="F52" s="66">
        <f t="shared" si="2"/>
        <v>3924</v>
      </c>
      <c r="G52" s="66">
        <f t="shared" si="2"/>
        <v>5229</v>
      </c>
      <c r="H52" s="66">
        <f t="shared" si="2"/>
        <v>11887</v>
      </c>
      <c r="I52" s="66">
        <f t="shared" si="2"/>
        <v>10907</v>
      </c>
      <c r="J52" s="66">
        <f t="shared" si="2"/>
        <v>12872</v>
      </c>
      <c r="K52" s="66">
        <f t="shared" si="2"/>
        <v>3823</v>
      </c>
      <c r="L52" s="66">
        <f t="shared" si="2"/>
        <v>3309</v>
      </c>
      <c r="M52" s="66">
        <f t="shared" si="2"/>
        <v>4119</v>
      </c>
    </row>
    <row r="53" spans="1:13" ht="12.75">
      <c r="A53" s="32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12.75">
      <c r="A54" s="33" t="s">
        <v>4</v>
      </c>
      <c r="B54" s="67">
        <f>B36+B52</f>
        <v>15261</v>
      </c>
      <c r="C54" s="67">
        <f aca="true" t="shared" si="3" ref="C54:M54">C36+C52</f>
        <v>14260</v>
      </c>
      <c r="D54" s="67">
        <f t="shared" si="3"/>
        <v>17038</v>
      </c>
      <c r="E54" s="67">
        <f t="shared" si="3"/>
        <v>5779</v>
      </c>
      <c r="F54" s="67">
        <f t="shared" si="3"/>
        <v>5283</v>
      </c>
      <c r="G54" s="67">
        <f t="shared" si="3"/>
        <v>6732</v>
      </c>
      <c r="H54" s="67">
        <f t="shared" si="3"/>
        <v>14597</v>
      </c>
      <c r="I54" s="67">
        <f t="shared" si="3"/>
        <v>13425</v>
      </c>
      <c r="J54" s="67">
        <f t="shared" si="3"/>
        <v>15896</v>
      </c>
      <c r="K54" s="67">
        <f t="shared" si="3"/>
        <v>5115</v>
      </c>
      <c r="L54" s="67">
        <f t="shared" si="3"/>
        <v>4448</v>
      </c>
      <c r="M54" s="67">
        <f t="shared" si="3"/>
        <v>5590</v>
      </c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ht="13.5">
      <c r="A56" s="62"/>
    </row>
    <row r="57" spans="1:13" s="7" customFormat="1" ht="12.75" customHeight="1">
      <c r="A57" s="38" t="s">
        <v>74</v>
      </c>
      <c r="B57"/>
      <c r="C57"/>
      <c r="D57"/>
      <c r="E57"/>
      <c r="F57"/>
      <c r="G57"/>
      <c r="H57"/>
      <c r="I57"/>
      <c r="J57"/>
      <c r="K57"/>
      <c r="L57"/>
      <c r="M57"/>
    </row>
    <row r="58" ht="12.75" customHeight="1">
      <c r="A58" s="61" t="s">
        <v>75</v>
      </c>
    </row>
    <row r="59" ht="13.5">
      <c r="A59" s="13"/>
    </row>
    <row r="60" ht="12.75">
      <c r="O60" s="68"/>
    </row>
    <row r="61" spans="8:15" ht="12.75">
      <c r="H61" s="68"/>
      <c r="O61" s="68"/>
    </row>
    <row r="62" ht="12.75">
      <c r="O62" s="68"/>
    </row>
  </sheetData>
  <mergeCells count="10">
    <mergeCell ref="A1:M1"/>
    <mergeCell ref="A8:M8"/>
    <mergeCell ref="A28:M28"/>
    <mergeCell ref="A4:A6"/>
    <mergeCell ref="B4:G4"/>
    <mergeCell ref="H4:M4"/>
    <mergeCell ref="B5:D5"/>
    <mergeCell ref="E5:G5"/>
    <mergeCell ref="H5:J5"/>
    <mergeCell ref="K5:M5"/>
  </mergeCells>
  <printOptions horizontalCentered="1"/>
  <pageMargins left="0.24" right="0.1968503937007874" top="0.7874015748031497" bottom="0.31" header="0.511811023622047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3"/>
  <sheetViews>
    <sheetView showGridLines="0" workbookViewId="0" topLeftCell="A1">
      <selection activeCell="A56" sqref="A56:J103"/>
    </sheetView>
  </sheetViews>
  <sheetFormatPr defaultColWidth="11.421875" defaultRowHeight="12.75"/>
  <cols>
    <col min="1" max="1" width="23.421875" style="0" customWidth="1"/>
    <col min="2" max="2" width="9.140625" style="0" customWidth="1"/>
    <col min="3" max="3" width="8.28125" style="0" customWidth="1"/>
    <col min="4" max="4" width="8.140625" style="0" customWidth="1"/>
    <col min="5" max="5" width="9.140625" style="0" customWidth="1"/>
    <col min="6" max="6" width="8.28125" style="0" customWidth="1"/>
    <col min="7" max="7" width="8.140625" style="0" customWidth="1"/>
    <col min="8" max="8" width="9.140625" style="0" customWidth="1"/>
    <col min="9" max="9" width="8.28125" style="0" customWidth="1"/>
    <col min="10" max="10" width="8.140625" style="0" customWidth="1"/>
  </cols>
  <sheetData>
    <row r="2" spans="1:10" ht="12.75">
      <c r="A2" s="97" t="s">
        <v>81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.75">
      <c r="A3" s="97" t="s">
        <v>79</v>
      </c>
      <c r="B3" s="97"/>
      <c r="C3" s="97"/>
      <c r="D3" s="97"/>
      <c r="E3" s="97"/>
      <c r="F3" s="97"/>
      <c r="G3" s="97"/>
      <c r="H3" s="97"/>
      <c r="I3" s="97"/>
      <c r="J3" s="97"/>
    </row>
    <row r="4" spans="1:8" ht="12.75">
      <c r="A4" s="57"/>
      <c r="B4" s="57"/>
      <c r="C4" s="57"/>
      <c r="D4" s="57"/>
      <c r="E4" s="57"/>
      <c r="F4" s="57"/>
      <c r="G4" s="57"/>
      <c r="H4" s="57"/>
    </row>
    <row r="5" spans="1:8" ht="12.75" customHeight="1">
      <c r="A5" s="57"/>
      <c r="B5" s="57"/>
      <c r="C5" s="57"/>
      <c r="D5" s="57"/>
      <c r="E5" s="57"/>
      <c r="F5" s="57"/>
      <c r="G5" s="57"/>
      <c r="H5" s="57"/>
    </row>
    <row r="6" spans="1:10" ht="12.7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</row>
    <row r="8" ht="12.75">
      <c r="A8" s="2"/>
    </row>
    <row r="9" spans="1:10" ht="12.75" customHeight="1">
      <c r="A9" s="114" t="s">
        <v>45</v>
      </c>
      <c r="B9" s="125" t="s">
        <v>19</v>
      </c>
      <c r="C9" s="126"/>
      <c r="D9" s="126"/>
      <c r="E9" s="125" t="s">
        <v>20</v>
      </c>
      <c r="F9" s="126"/>
      <c r="G9" s="111"/>
      <c r="H9" s="125" t="s">
        <v>30</v>
      </c>
      <c r="I9" s="126"/>
      <c r="J9" s="126"/>
    </row>
    <row r="10" spans="1:10" ht="12.75">
      <c r="A10" s="114"/>
      <c r="B10" s="129"/>
      <c r="C10" s="130"/>
      <c r="D10" s="130"/>
      <c r="E10" s="127"/>
      <c r="F10" s="128"/>
      <c r="G10" s="112"/>
      <c r="H10" s="127"/>
      <c r="I10" s="128"/>
      <c r="J10" s="128"/>
    </row>
    <row r="11" spans="1:10" ht="12.75">
      <c r="A11" s="130"/>
      <c r="B11" s="123" t="s">
        <v>5</v>
      </c>
      <c r="C11" s="123" t="s">
        <v>6</v>
      </c>
      <c r="D11" s="123" t="s">
        <v>7</v>
      </c>
      <c r="E11" s="123" t="s">
        <v>5</v>
      </c>
      <c r="F11" s="123" t="s">
        <v>6</v>
      </c>
      <c r="G11" s="123" t="s">
        <v>7</v>
      </c>
      <c r="H11" s="123" t="s">
        <v>5</v>
      </c>
      <c r="I11" s="123" t="s">
        <v>6</v>
      </c>
      <c r="J11" s="123" t="s">
        <v>7</v>
      </c>
    </row>
    <row r="12" spans="1:10" ht="12.75">
      <c r="A12" s="128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9" customHeight="1">
      <c r="A13" s="8"/>
      <c r="D13" s="3"/>
      <c r="G13" s="3"/>
      <c r="H13" s="49"/>
      <c r="I13" s="52"/>
      <c r="J13" s="52"/>
    </row>
    <row r="14" spans="1:10" ht="12.75">
      <c r="A14" s="12" t="s">
        <v>31</v>
      </c>
      <c r="B14" s="25">
        <f>C14+D14</f>
        <v>553</v>
      </c>
      <c r="C14" s="25">
        <f>104+72+113</f>
        <v>289</v>
      </c>
      <c r="D14" s="26">
        <f>94+72+98</f>
        <v>264</v>
      </c>
      <c r="E14" s="25">
        <f>F14+G14</f>
        <v>420</v>
      </c>
      <c r="F14" s="25">
        <f>74+62+89</f>
        <v>225</v>
      </c>
      <c r="G14" s="26">
        <f>75+50+70</f>
        <v>195</v>
      </c>
      <c r="H14" s="78">
        <f>B14-E14</f>
        <v>133</v>
      </c>
      <c r="I14" s="70">
        <f>C14-F14</f>
        <v>64</v>
      </c>
      <c r="J14" s="70">
        <f>D14-G14</f>
        <v>69</v>
      </c>
    </row>
    <row r="15" spans="1:10" ht="12.75">
      <c r="A15" s="12"/>
      <c r="B15" s="25"/>
      <c r="C15" s="25"/>
      <c r="D15" s="26"/>
      <c r="E15" s="25"/>
      <c r="F15" s="25"/>
      <c r="G15" s="26"/>
      <c r="H15" s="78"/>
      <c r="I15" s="70"/>
      <c r="J15" s="70"/>
    </row>
    <row r="16" spans="1:10" ht="12.75">
      <c r="A16" s="12" t="s">
        <v>32</v>
      </c>
      <c r="B16" s="25">
        <f aca="true" t="shared" si="0" ref="B16:B42">C16+D16</f>
        <v>588</v>
      </c>
      <c r="C16" s="25">
        <f>120+98+111</f>
        <v>329</v>
      </c>
      <c r="D16" s="26">
        <f>93+93+73</f>
        <v>259</v>
      </c>
      <c r="E16" s="25">
        <f aca="true" t="shared" si="1" ref="E16:E42">F16+G16</f>
        <v>567</v>
      </c>
      <c r="F16" s="25">
        <f>98+96+105</f>
        <v>299</v>
      </c>
      <c r="G16" s="26">
        <f>91+70+107</f>
        <v>268</v>
      </c>
      <c r="H16" s="78">
        <f>B16-E16</f>
        <v>21</v>
      </c>
      <c r="I16" s="70">
        <f>C16-F16</f>
        <v>30</v>
      </c>
      <c r="J16" s="70">
        <f>D16-G16</f>
        <v>-9</v>
      </c>
    </row>
    <row r="17" spans="1:10" ht="12.75">
      <c r="A17" s="12"/>
      <c r="B17" s="25"/>
      <c r="C17" s="25"/>
      <c r="D17" s="26"/>
      <c r="E17" s="25"/>
      <c r="F17" s="25"/>
      <c r="G17" s="26"/>
      <c r="H17" s="78"/>
      <c r="I17" s="70"/>
      <c r="J17" s="70"/>
    </row>
    <row r="18" spans="1:10" ht="12.75">
      <c r="A18" s="12" t="s">
        <v>33</v>
      </c>
      <c r="B18" s="25">
        <f t="shared" si="0"/>
        <v>662</v>
      </c>
      <c r="C18" s="25">
        <f>114+108+113</f>
        <v>335</v>
      </c>
      <c r="D18" s="26">
        <f>112+92+123</f>
        <v>327</v>
      </c>
      <c r="E18" s="25">
        <f t="shared" si="1"/>
        <v>576</v>
      </c>
      <c r="F18" s="25">
        <f>108+93+118</f>
        <v>319</v>
      </c>
      <c r="G18" s="26">
        <f>80+85+92</f>
        <v>257</v>
      </c>
      <c r="H18" s="78">
        <f>B18-E18</f>
        <v>86</v>
      </c>
      <c r="I18" s="70">
        <f>C18-F18</f>
        <v>16</v>
      </c>
      <c r="J18" s="70">
        <f>D18-G18</f>
        <v>70</v>
      </c>
    </row>
    <row r="19" spans="1:10" ht="12.75">
      <c r="A19" s="12"/>
      <c r="B19" s="25"/>
      <c r="C19" s="25"/>
      <c r="D19" s="26"/>
      <c r="E19" s="25"/>
      <c r="F19" s="25"/>
      <c r="G19" s="26"/>
      <c r="H19" s="78"/>
      <c r="I19" s="70"/>
      <c r="J19" s="70"/>
    </row>
    <row r="20" spans="1:10" ht="12.75">
      <c r="A20" s="12" t="s">
        <v>34</v>
      </c>
      <c r="B20" s="25">
        <f t="shared" si="0"/>
        <v>299</v>
      </c>
      <c r="C20" s="25">
        <f>41+38+60</f>
        <v>139</v>
      </c>
      <c r="D20" s="26">
        <f>46+39+75</f>
        <v>160</v>
      </c>
      <c r="E20" s="25">
        <f t="shared" si="1"/>
        <v>131</v>
      </c>
      <c r="F20" s="25">
        <f>25+21+24</f>
        <v>70</v>
      </c>
      <c r="G20" s="26">
        <f>18+20+23</f>
        <v>61</v>
      </c>
      <c r="H20" s="78">
        <f>B20-E20</f>
        <v>168</v>
      </c>
      <c r="I20" s="70">
        <f>C20-F20</f>
        <v>69</v>
      </c>
      <c r="J20" s="70">
        <f>D20-G20</f>
        <v>99</v>
      </c>
    </row>
    <row r="21" spans="1:10" ht="12.75">
      <c r="A21" s="12"/>
      <c r="B21" s="25"/>
      <c r="C21" s="25"/>
      <c r="D21" s="26"/>
      <c r="E21" s="25"/>
      <c r="F21" s="25"/>
      <c r="G21" s="26"/>
      <c r="H21" s="78"/>
      <c r="I21" s="70"/>
      <c r="J21" s="70"/>
    </row>
    <row r="22" spans="1:10" ht="12.75">
      <c r="A22" s="12" t="s">
        <v>35</v>
      </c>
      <c r="B22" s="25">
        <f t="shared" si="0"/>
        <v>246</v>
      </c>
      <c r="C22" s="25">
        <f>47+46+41</f>
        <v>134</v>
      </c>
      <c r="D22" s="26">
        <f>41+23+48</f>
        <v>112</v>
      </c>
      <c r="E22" s="25">
        <f t="shared" si="1"/>
        <v>196</v>
      </c>
      <c r="F22" s="25">
        <f>29+34+38</f>
        <v>101</v>
      </c>
      <c r="G22" s="26">
        <f>33+27+35</f>
        <v>95</v>
      </c>
      <c r="H22" s="78">
        <f>B22-E22</f>
        <v>50</v>
      </c>
      <c r="I22" s="70">
        <f>C22-F22</f>
        <v>33</v>
      </c>
      <c r="J22" s="70">
        <f>D22-G22</f>
        <v>17</v>
      </c>
    </row>
    <row r="23" spans="1:10" ht="12.75">
      <c r="A23" s="12"/>
      <c r="B23" s="25"/>
      <c r="C23" s="25"/>
      <c r="D23" s="26"/>
      <c r="E23" s="25"/>
      <c r="F23" s="25"/>
      <c r="G23" s="26"/>
      <c r="H23" s="78"/>
      <c r="I23" s="70"/>
      <c r="J23" s="70"/>
    </row>
    <row r="24" spans="1:10" ht="12.75">
      <c r="A24" s="12" t="s">
        <v>46</v>
      </c>
      <c r="B24" s="25">
        <f t="shared" si="0"/>
        <v>492</v>
      </c>
      <c r="C24" s="25">
        <f>88+58+95</f>
        <v>241</v>
      </c>
      <c r="D24" s="26">
        <f>103+52+96</f>
        <v>251</v>
      </c>
      <c r="E24" s="25">
        <f t="shared" si="1"/>
        <v>362</v>
      </c>
      <c r="F24" s="25">
        <f>67+56+74</f>
        <v>197</v>
      </c>
      <c r="G24" s="26">
        <f>52+49+64</f>
        <v>165</v>
      </c>
      <c r="H24" s="78">
        <f>B24-E24</f>
        <v>130</v>
      </c>
      <c r="I24" s="70">
        <f>C24-F24</f>
        <v>44</v>
      </c>
      <c r="J24" s="70">
        <f>D24-G24</f>
        <v>86</v>
      </c>
    </row>
    <row r="25" spans="1:10" ht="12.75">
      <c r="A25" s="12"/>
      <c r="B25" s="25"/>
      <c r="C25" s="25"/>
      <c r="D25" s="26"/>
      <c r="E25" s="25"/>
      <c r="F25" s="25"/>
      <c r="G25" s="26"/>
      <c r="H25" s="78"/>
      <c r="I25" s="70"/>
      <c r="J25" s="70"/>
    </row>
    <row r="26" spans="1:10" ht="12.75">
      <c r="A26" s="12" t="s">
        <v>36</v>
      </c>
      <c r="B26" s="25">
        <f t="shared" si="0"/>
        <v>1128</v>
      </c>
      <c r="C26" s="25">
        <f>195+159+218</f>
        <v>572</v>
      </c>
      <c r="D26" s="26">
        <f>179+167+210</f>
        <v>556</v>
      </c>
      <c r="E26" s="25">
        <f t="shared" si="1"/>
        <v>466</v>
      </c>
      <c r="F26" s="25">
        <f>87+87+89</f>
        <v>263</v>
      </c>
      <c r="G26" s="26">
        <f>62+67+74</f>
        <v>203</v>
      </c>
      <c r="H26" s="78">
        <f>B26-E26</f>
        <v>662</v>
      </c>
      <c r="I26" s="70">
        <f>C26-F26</f>
        <v>309</v>
      </c>
      <c r="J26" s="70">
        <f>D26-G26</f>
        <v>353</v>
      </c>
    </row>
    <row r="27" spans="1:10" ht="12.75">
      <c r="A27" s="12"/>
      <c r="B27" s="25"/>
      <c r="C27" s="25"/>
      <c r="D27" s="26"/>
      <c r="E27" s="25"/>
      <c r="F27" s="25"/>
      <c r="G27" s="26"/>
      <c r="H27" s="78"/>
      <c r="I27" s="70"/>
      <c r="J27" s="70"/>
    </row>
    <row r="28" spans="1:10" ht="12.75">
      <c r="A28" s="12" t="s">
        <v>37</v>
      </c>
      <c r="B28" s="25">
        <f t="shared" si="0"/>
        <v>3034</v>
      </c>
      <c r="C28" s="25">
        <f>533+423+558</f>
        <v>1514</v>
      </c>
      <c r="D28" s="26">
        <f>495+452+573</f>
        <v>1520</v>
      </c>
      <c r="E28" s="25">
        <f t="shared" si="1"/>
        <v>3016</v>
      </c>
      <c r="F28" s="25">
        <f>468+424+606</f>
        <v>1498</v>
      </c>
      <c r="G28" s="26">
        <f>473+406+639</f>
        <v>1518</v>
      </c>
      <c r="H28" s="78">
        <f>B28-E28</f>
        <v>18</v>
      </c>
      <c r="I28" s="70">
        <f>C28-F28</f>
        <v>16</v>
      </c>
      <c r="J28" s="70">
        <f>D28-G28</f>
        <v>2</v>
      </c>
    </row>
    <row r="29" spans="1:10" ht="12.75">
      <c r="A29" s="12"/>
      <c r="B29" s="25"/>
      <c r="C29" s="25"/>
      <c r="D29" s="26"/>
      <c r="E29" s="25"/>
      <c r="F29" s="25"/>
      <c r="G29" s="26"/>
      <c r="H29" s="78"/>
      <c r="I29" s="70"/>
      <c r="J29" s="70"/>
    </row>
    <row r="30" spans="1:10" ht="12.75">
      <c r="A30" s="12" t="s">
        <v>38</v>
      </c>
      <c r="B30" s="25">
        <f t="shared" si="0"/>
        <v>1213</v>
      </c>
      <c r="C30" s="25">
        <f>198+195+235</f>
        <v>628</v>
      </c>
      <c r="D30" s="26">
        <f>197+158+230</f>
        <v>585</v>
      </c>
      <c r="E30" s="25">
        <f t="shared" si="1"/>
        <v>1082</v>
      </c>
      <c r="F30" s="25">
        <f>179+142+241</f>
        <v>562</v>
      </c>
      <c r="G30" s="26">
        <f>167+141+212</f>
        <v>520</v>
      </c>
      <c r="H30" s="78">
        <f>B30-E30</f>
        <v>131</v>
      </c>
      <c r="I30" s="70">
        <f>C30-F30</f>
        <v>66</v>
      </c>
      <c r="J30" s="70">
        <f>D30-G30</f>
        <v>65</v>
      </c>
    </row>
    <row r="31" spans="1:10" ht="12.75">
      <c r="A31" s="12"/>
      <c r="B31" s="25"/>
      <c r="C31" s="25"/>
      <c r="D31" s="26"/>
      <c r="E31" s="25"/>
      <c r="F31" s="25"/>
      <c r="G31" s="26"/>
      <c r="H31" s="78"/>
      <c r="I31" s="70"/>
      <c r="J31" s="70"/>
    </row>
    <row r="32" spans="1:10" ht="12.75">
      <c r="A32" s="12" t="s">
        <v>39</v>
      </c>
      <c r="B32" s="25">
        <f t="shared" si="0"/>
        <v>164</v>
      </c>
      <c r="C32" s="25">
        <f>32+23+34</f>
        <v>89</v>
      </c>
      <c r="D32" s="26">
        <f>28+24+23</f>
        <v>75</v>
      </c>
      <c r="E32" s="25">
        <f t="shared" si="1"/>
        <v>148</v>
      </c>
      <c r="F32" s="25">
        <f>29+20+28</f>
        <v>77</v>
      </c>
      <c r="G32" s="26">
        <f>28+24+19</f>
        <v>71</v>
      </c>
      <c r="H32" s="78">
        <f>B32-E32</f>
        <v>16</v>
      </c>
      <c r="I32" s="70">
        <f>C32-F32</f>
        <v>12</v>
      </c>
      <c r="J32" s="70">
        <f>D32-G32</f>
        <v>4</v>
      </c>
    </row>
    <row r="33" spans="1:10" ht="12.75">
      <c r="A33" s="12"/>
      <c r="B33" s="25"/>
      <c r="C33" s="25"/>
      <c r="D33" s="26"/>
      <c r="E33" s="25"/>
      <c r="F33" s="25"/>
      <c r="G33" s="26"/>
      <c r="H33" s="78"/>
      <c r="I33" s="70"/>
      <c r="J33" s="70"/>
    </row>
    <row r="34" spans="1:10" ht="12.75">
      <c r="A34" s="12" t="s">
        <v>40</v>
      </c>
      <c r="B34" s="25">
        <f t="shared" si="0"/>
        <v>37</v>
      </c>
      <c r="C34" s="25">
        <f>7+7+7</f>
        <v>21</v>
      </c>
      <c r="D34" s="26">
        <f>7+4+5</f>
        <v>16</v>
      </c>
      <c r="E34" s="25">
        <f t="shared" si="1"/>
        <v>30</v>
      </c>
      <c r="F34" s="25">
        <f>9+5+5</f>
        <v>19</v>
      </c>
      <c r="G34" s="26">
        <f>3+5+3</f>
        <v>11</v>
      </c>
      <c r="H34" s="79">
        <f>B34-E34</f>
        <v>7</v>
      </c>
      <c r="I34" s="70">
        <f>C34-F34</f>
        <v>2</v>
      </c>
      <c r="J34" s="70">
        <f>D34-G34</f>
        <v>5</v>
      </c>
    </row>
    <row r="35" spans="1:10" ht="12.75">
      <c r="A35" s="4"/>
      <c r="B35" s="25"/>
      <c r="C35" s="25"/>
      <c r="D35" s="26"/>
      <c r="E35" s="25"/>
      <c r="F35" s="25"/>
      <c r="G35" s="26"/>
      <c r="H35" s="78"/>
      <c r="I35" s="70"/>
      <c r="J35" s="70"/>
    </row>
    <row r="36" spans="1:10" ht="12.75">
      <c r="A36" s="4" t="s">
        <v>41</v>
      </c>
      <c r="B36" s="25">
        <f t="shared" si="0"/>
        <v>200</v>
      </c>
      <c r="C36" s="25">
        <f>42+27+28</f>
        <v>97</v>
      </c>
      <c r="D36" s="26">
        <f>31+27+45</f>
        <v>103</v>
      </c>
      <c r="E36" s="25">
        <f t="shared" si="1"/>
        <v>142</v>
      </c>
      <c r="F36" s="25">
        <f>25+28+27</f>
        <v>80</v>
      </c>
      <c r="G36" s="26">
        <f>22+18+22</f>
        <v>62</v>
      </c>
      <c r="H36" s="78">
        <f>B36-E36</f>
        <v>58</v>
      </c>
      <c r="I36" s="70">
        <f>C36-F36</f>
        <v>17</v>
      </c>
      <c r="J36" s="70">
        <f>D36-G36</f>
        <v>41</v>
      </c>
    </row>
    <row r="37" spans="1:10" ht="12.75">
      <c r="A37" s="12"/>
      <c r="B37" s="25"/>
      <c r="C37" s="25"/>
      <c r="D37" s="26"/>
      <c r="E37" s="25"/>
      <c r="F37" s="25"/>
      <c r="G37" s="26"/>
      <c r="H37" s="78"/>
      <c r="I37" s="70"/>
      <c r="J37" s="70"/>
    </row>
    <row r="38" spans="1:10" ht="12.75">
      <c r="A38" s="12" t="s">
        <v>42</v>
      </c>
      <c r="B38" s="25">
        <f t="shared" si="0"/>
        <v>217</v>
      </c>
      <c r="C38" s="25">
        <f>31+26+45</f>
        <v>102</v>
      </c>
      <c r="D38" s="26">
        <f>42+24+49</f>
        <v>115</v>
      </c>
      <c r="E38" s="25">
        <f t="shared" si="1"/>
        <v>115</v>
      </c>
      <c r="F38" s="25">
        <f>20+18+27</f>
        <v>65</v>
      </c>
      <c r="G38" s="26">
        <f>9+23+18</f>
        <v>50</v>
      </c>
      <c r="H38" s="78">
        <f>B38-E38</f>
        <v>102</v>
      </c>
      <c r="I38" s="70">
        <f>C38-F38</f>
        <v>37</v>
      </c>
      <c r="J38" s="70">
        <f>D38-G38</f>
        <v>65</v>
      </c>
    </row>
    <row r="39" spans="1:10" ht="12.75">
      <c r="A39" s="12"/>
      <c r="B39" s="25"/>
      <c r="C39" s="25"/>
      <c r="D39" s="26"/>
      <c r="E39" s="25"/>
      <c r="F39" s="25"/>
      <c r="G39" s="26"/>
      <c r="H39" s="78"/>
      <c r="I39" s="70"/>
      <c r="J39" s="70"/>
    </row>
    <row r="40" spans="1:10" ht="12.75">
      <c r="A40" s="12" t="s">
        <v>4</v>
      </c>
      <c r="B40" s="25">
        <f t="shared" si="0"/>
        <v>4351</v>
      </c>
      <c r="C40" s="25">
        <f>693+629+849</f>
        <v>2171</v>
      </c>
      <c r="D40" s="26">
        <f>716+630+834</f>
        <v>2180</v>
      </c>
      <c r="E40" s="25">
        <f t="shared" si="1"/>
        <v>5390</v>
      </c>
      <c r="F40" s="25">
        <f>808+749+1060</f>
        <v>2617</v>
      </c>
      <c r="G40" s="26">
        <f>840+817+1116</f>
        <v>2773</v>
      </c>
      <c r="H40" s="78">
        <f>B40-E40</f>
        <v>-1039</v>
      </c>
      <c r="I40" s="70">
        <f>C40-F40</f>
        <v>-446</v>
      </c>
      <c r="J40" s="70">
        <f>D40-G40</f>
        <v>-593</v>
      </c>
    </row>
    <row r="41" spans="1:10" ht="12.75">
      <c r="A41" s="12"/>
      <c r="B41" s="25"/>
      <c r="C41" s="25"/>
      <c r="D41" s="26"/>
      <c r="E41" s="25"/>
      <c r="F41" s="25"/>
      <c r="G41" s="26"/>
      <c r="H41" s="78"/>
      <c r="I41" s="70"/>
      <c r="J41" s="70"/>
    </row>
    <row r="42" spans="1:10" ht="12.75">
      <c r="A42" s="12" t="s">
        <v>43</v>
      </c>
      <c r="B42" s="25">
        <f t="shared" si="0"/>
        <v>75</v>
      </c>
      <c r="C42" s="25">
        <f>14+14+10</f>
        <v>38</v>
      </c>
      <c r="D42" s="26">
        <f>16+6+15</f>
        <v>37</v>
      </c>
      <c r="E42" s="25">
        <f t="shared" si="1"/>
        <v>33</v>
      </c>
      <c r="F42" s="25">
        <f>3+6+11</f>
        <v>20</v>
      </c>
      <c r="G42" s="26">
        <f>3+3+7</f>
        <v>13</v>
      </c>
      <c r="H42" s="78">
        <f>B42-E42</f>
        <v>42</v>
      </c>
      <c r="I42" s="70">
        <f>C42-F42</f>
        <v>18</v>
      </c>
      <c r="J42" s="70">
        <f>D42-G42</f>
        <v>24</v>
      </c>
    </row>
    <row r="43" spans="1:10" ht="12.75" customHeight="1">
      <c r="A43" s="12"/>
      <c r="B43" s="25"/>
      <c r="C43" s="25"/>
      <c r="D43" s="26"/>
      <c r="E43" s="25"/>
      <c r="F43" s="25"/>
      <c r="G43" s="26"/>
      <c r="H43" s="78"/>
      <c r="I43" s="70"/>
      <c r="J43" s="70"/>
    </row>
    <row r="44" spans="1:10" ht="12.75">
      <c r="A44" s="12" t="s">
        <v>44</v>
      </c>
      <c r="B44" s="25">
        <f>SUM(B14:B43)</f>
        <v>13259</v>
      </c>
      <c r="C44" s="25">
        <f>SUM(C14:C43)</f>
        <v>6699</v>
      </c>
      <c r="D44" s="26">
        <f>SUM(D14:D42)</f>
        <v>6560</v>
      </c>
      <c r="E44" s="25">
        <f>SUM(E14:E42)</f>
        <v>12674</v>
      </c>
      <c r="F44" s="25">
        <f>SUM(F14:F42)</f>
        <v>6412</v>
      </c>
      <c r="G44" s="26">
        <f>SUM(G14:G42)</f>
        <v>6262</v>
      </c>
      <c r="H44" s="78">
        <f>B44-E44</f>
        <v>585</v>
      </c>
      <c r="I44" s="70">
        <f>C44-F44</f>
        <v>287</v>
      </c>
      <c r="J44" s="70">
        <f>D44-G44</f>
        <v>298</v>
      </c>
    </row>
    <row r="45" spans="1:10" ht="12.75" customHeight="1">
      <c r="A45" s="12"/>
      <c r="B45" s="73"/>
      <c r="C45" s="74"/>
      <c r="D45" s="75"/>
      <c r="E45" s="74"/>
      <c r="F45" s="74"/>
      <c r="G45" s="75"/>
      <c r="H45" s="80"/>
      <c r="I45" s="70"/>
      <c r="J45" s="70"/>
    </row>
    <row r="46" spans="1:10" ht="12.75">
      <c r="A46" s="12" t="s">
        <v>80</v>
      </c>
      <c r="B46" s="25">
        <f>C46+D46</f>
        <v>4999</v>
      </c>
      <c r="C46" s="25">
        <f>912+893+1214</f>
        <v>3019</v>
      </c>
      <c r="D46" s="26">
        <f>622+639+719</f>
        <v>1980</v>
      </c>
      <c r="E46" s="25">
        <f>F46+G46</f>
        <v>5896</v>
      </c>
      <c r="F46" s="25">
        <f>1204+990+1452</f>
        <v>3646</v>
      </c>
      <c r="G46" s="26">
        <f>720+571+959</f>
        <v>2250</v>
      </c>
      <c r="H46" s="78">
        <f>B46-E46</f>
        <v>-897</v>
      </c>
      <c r="I46" s="70">
        <f>C46-F46</f>
        <v>-627</v>
      </c>
      <c r="J46" s="70">
        <f>D46-G46</f>
        <v>-270</v>
      </c>
    </row>
    <row r="47" spans="1:10" ht="12.75">
      <c r="A47" s="4"/>
      <c r="B47" s="25"/>
      <c r="C47" s="25"/>
      <c r="D47" s="26"/>
      <c r="E47" s="25"/>
      <c r="F47" s="25"/>
      <c r="G47" s="26"/>
      <c r="H47" s="78"/>
      <c r="I47" s="70"/>
      <c r="J47" s="70"/>
    </row>
    <row r="48" spans="1:10" ht="12.75">
      <c r="A48" s="14" t="s">
        <v>62</v>
      </c>
      <c r="B48" s="76">
        <f>SUM(B44:B47)</f>
        <v>18258</v>
      </c>
      <c r="C48" s="76">
        <f>SUM(C44:C47)</f>
        <v>9718</v>
      </c>
      <c r="D48" s="77">
        <f>SUM(D44:D46)</f>
        <v>8540</v>
      </c>
      <c r="E48" s="76">
        <f>SUM(E44:E46)</f>
        <v>18570</v>
      </c>
      <c r="F48" s="76">
        <f>SUM(F44:F46)</f>
        <v>10058</v>
      </c>
      <c r="G48" s="77">
        <f>SUM(G44:G46)</f>
        <v>8512</v>
      </c>
      <c r="H48" s="81">
        <f>B48-E48</f>
        <v>-312</v>
      </c>
      <c r="I48" s="72">
        <f>C48-F48</f>
        <v>-340</v>
      </c>
      <c r="J48" s="72">
        <f>D48-G48</f>
        <v>28</v>
      </c>
    </row>
    <row r="49" ht="14.25">
      <c r="A49" s="38"/>
    </row>
    <row r="54" ht="12.75">
      <c r="A54" s="7"/>
    </row>
    <row r="55" ht="12.75">
      <c r="A55" s="7"/>
    </row>
    <row r="56" spans="1:10" ht="12.75">
      <c r="A56" s="97" t="s">
        <v>82</v>
      </c>
      <c r="B56" s="97"/>
      <c r="C56" s="97"/>
      <c r="D56" s="97"/>
      <c r="E56" s="97"/>
      <c r="F56" s="97"/>
      <c r="G56" s="97"/>
      <c r="H56" s="97"/>
      <c r="I56" s="97"/>
      <c r="J56" s="97"/>
    </row>
    <row r="57" spans="1:10" ht="12.75">
      <c r="A57" s="97" t="s">
        <v>79</v>
      </c>
      <c r="B57" s="97"/>
      <c r="C57" s="97"/>
      <c r="D57" s="97"/>
      <c r="E57" s="97"/>
      <c r="F57" s="97"/>
      <c r="G57" s="97"/>
      <c r="H57" s="97"/>
      <c r="I57" s="97"/>
      <c r="J57" s="97"/>
    </row>
    <row r="58" spans="1:8" ht="12.75">
      <c r="A58" s="57"/>
      <c r="B58" s="57"/>
      <c r="C58" s="57"/>
      <c r="D58" s="57"/>
      <c r="E58" s="57"/>
      <c r="F58" s="57"/>
      <c r="G58" s="57"/>
      <c r="H58" s="57"/>
    </row>
    <row r="59" spans="1:8" ht="12.75">
      <c r="A59" s="57"/>
      <c r="B59" s="57"/>
      <c r="C59" s="57"/>
      <c r="D59" s="57"/>
      <c r="E59" s="57"/>
      <c r="F59" s="57"/>
      <c r="G59" s="57"/>
      <c r="H59" s="57"/>
    </row>
    <row r="60" spans="1:10" ht="12.75">
      <c r="A60" s="97" t="s">
        <v>4</v>
      </c>
      <c r="B60" s="97"/>
      <c r="C60" s="97"/>
      <c r="D60" s="97"/>
      <c r="E60" s="97"/>
      <c r="F60" s="97"/>
      <c r="G60" s="97"/>
      <c r="H60" s="97"/>
      <c r="I60" s="97"/>
      <c r="J60" s="97"/>
    </row>
    <row r="61" spans="2:8" ht="12.75">
      <c r="B61" s="5"/>
      <c r="C61" s="5"/>
      <c r="D61" s="5"/>
      <c r="E61" s="5"/>
      <c r="F61" s="5"/>
      <c r="G61" s="5"/>
      <c r="H61" s="5"/>
    </row>
    <row r="62" spans="1:8" ht="12.75">
      <c r="A62" s="2"/>
      <c r="B62" s="2"/>
      <c r="C62" s="2"/>
      <c r="D62" s="2"/>
      <c r="E62" s="5"/>
      <c r="F62" s="5"/>
      <c r="G62" s="5"/>
      <c r="H62" s="2"/>
    </row>
    <row r="63" spans="1:10" ht="12.75" customHeight="1">
      <c r="A63" s="111" t="s">
        <v>45</v>
      </c>
      <c r="B63" s="125" t="s">
        <v>19</v>
      </c>
      <c r="C63" s="126"/>
      <c r="D63" s="126"/>
      <c r="E63" s="125" t="s">
        <v>20</v>
      </c>
      <c r="F63" s="126"/>
      <c r="G63" s="111"/>
      <c r="H63" s="125" t="s">
        <v>30</v>
      </c>
      <c r="I63" s="126"/>
      <c r="J63" s="126"/>
    </row>
    <row r="64" spans="1:10" ht="12.75">
      <c r="A64" s="114"/>
      <c r="B64" s="129"/>
      <c r="C64" s="130"/>
      <c r="D64" s="130"/>
      <c r="E64" s="127"/>
      <c r="F64" s="128"/>
      <c r="G64" s="112"/>
      <c r="H64" s="127"/>
      <c r="I64" s="128"/>
      <c r="J64" s="128"/>
    </row>
    <row r="65" spans="1:10" ht="12.75">
      <c r="A65" s="114"/>
      <c r="B65" s="123" t="s">
        <v>5</v>
      </c>
      <c r="C65" s="123" t="s">
        <v>6</v>
      </c>
      <c r="D65" s="123" t="s">
        <v>7</v>
      </c>
      <c r="E65" s="123" t="s">
        <v>5</v>
      </c>
      <c r="F65" s="123" t="s">
        <v>6</v>
      </c>
      <c r="G65" s="123" t="s">
        <v>7</v>
      </c>
      <c r="H65" s="123" t="s">
        <v>5</v>
      </c>
      <c r="I65" s="123" t="s">
        <v>6</v>
      </c>
      <c r="J65" s="123" t="s">
        <v>7</v>
      </c>
    </row>
    <row r="66" spans="1:10" ht="12.75">
      <c r="A66" s="112"/>
      <c r="B66" s="124"/>
      <c r="C66" s="124"/>
      <c r="D66" s="124"/>
      <c r="E66" s="124"/>
      <c r="F66" s="124"/>
      <c r="G66" s="124"/>
      <c r="H66" s="124"/>
      <c r="I66" s="124"/>
      <c r="J66" s="124"/>
    </row>
    <row r="67" spans="1:10" ht="9" customHeight="1">
      <c r="A67" s="8"/>
      <c r="B67" s="23"/>
      <c r="C67" s="23"/>
      <c r="D67" s="24"/>
      <c r="E67" s="23"/>
      <c r="F67" s="23"/>
      <c r="G67" s="24"/>
      <c r="H67" s="69"/>
      <c r="I67" s="52"/>
      <c r="J67" s="52"/>
    </row>
    <row r="68" spans="1:10" ht="12.75">
      <c r="A68" s="12" t="s">
        <v>31</v>
      </c>
      <c r="B68" s="85">
        <f>C68+D68</f>
        <v>610</v>
      </c>
      <c r="C68" s="85">
        <v>294</v>
      </c>
      <c r="D68" s="86">
        <v>316</v>
      </c>
      <c r="E68" s="85">
        <f>F68+G68</f>
        <v>637</v>
      </c>
      <c r="F68" s="85">
        <v>337</v>
      </c>
      <c r="G68" s="86">
        <v>300</v>
      </c>
      <c r="H68" s="87">
        <f>B68-E68</f>
        <v>-27</v>
      </c>
      <c r="I68" s="88">
        <f>C68-F68</f>
        <v>-43</v>
      </c>
      <c r="J68" s="88">
        <f>D68-G68</f>
        <v>16</v>
      </c>
    </row>
    <row r="69" spans="1:10" ht="12.75">
      <c r="A69" s="12"/>
      <c r="B69" s="85"/>
      <c r="C69" s="85"/>
      <c r="D69" s="86"/>
      <c r="E69" s="85"/>
      <c r="F69" s="85"/>
      <c r="G69" s="86"/>
      <c r="H69" s="87"/>
      <c r="I69" s="88"/>
      <c r="J69" s="88"/>
    </row>
    <row r="70" spans="1:10" ht="12.75">
      <c r="A70" s="12" t="s">
        <v>32</v>
      </c>
      <c r="B70" s="85">
        <f aca="true" t="shared" si="2" ref="B70:B96">C70+D70</f>
        <v>553</v>
      </c>
      <c r="C70" s="85">
        <v>278</v>
      </c>
      <c r="D70" s="86">
        <v>275</v>
      </c>
      <c r="E70" s="85">
        <f aca="true" t="shared" si="3" ref="E70:E96">F70+G70</f>
        <v>612</v>
      </c>
      <c r="F70" s="85">
        <v>307</v>
      </c>
      <c r="G70" s="86">
        <v>305</v>
      </c>
      <c r="H70" s="87">
        <f>B70-E70</f>
        <v>-59</v>
      </c>
      <c r="I70" s="88">
        <f>C70-F70</f>
        <v>-29</v>
      </c>
      <c r="J70" s="88">
        <f>D70-G70</f>
        <v>-30</v>
      </c>
    </row>
    <row r="71" spans="1:10" ht="12.75">
      <c r="A71" s="12"/>
      <c r="B71" s="85"/>
      <c r="C71" s="85"/>
      <c r="D71" s="86"/>
      <c r="E71" s="85"/>
      <c r="F71" s="85"/>
      <c r="G71" s="86"/>
      <c r="H71" s="87"/>
      <c r="I71" s="88"/>
      <c r="J71" s="88"/>
    </row>
    <row r="72" spans="1:10" ht="12.75">
      <c r="A72" s="12" t="s">
        <v>33</v>
      </c>
      <c r="B72" s="85">
        <f t="shared" si="2"/>
        <v>635</v>
      </c>
      <c r="C72" s="85">
        <v>306</v>
      </c>
      <c r="D72" s="86">
        <v>329</v>
      </c>
      <c r="E72" s="85">
        <f t="shared" si="3"/>
        <v>516</v>
      </c>
      <c r="F72" s="85">
        <v>262</v>
      </c>
      <c r="G72" s="86">
        <v>254</v>
      </c>
      <c r="H72" s="87">
        <f>B72-E72</f>
        <v>119</v>
      </c>
      <c r="I72" s="88">
        <f>C72-F72</f>
        <v>44</v>
      </c>
      <c r="J72" s="88">
        <f>D72-G72</f>
        <v>75</v>
      </c>
    </row>
    <row r="73" spans="1:10" ht="12.75">
      <c r="A73" s="12"/>
      <c r="B73" s="85"/>
      <c r="C73" s="85"/>
      <c r="D73" s="86"/>
      <c r="E73" s="85"/>
      <c r="F73" s="85"/>
      <c r="G73" s="86"/>
      <c r="H73" s="87"/>
      <c r="I73" s="88"/>
      <c r="J73" s="88"/>
    </row>
    <row r="74" spans="1:10" ht="12.75">
      <c r="A74" s="12" t="s">
        <v>34</v>
      </c>
      <c r="B74" s="85">
        <f t="shared" si="2"/>
        <v>334</v>
      </c>
      <c r="C74" s="85">
        <v>160</v>
      </c>
      <c r="D74" s="86">
        <v>174</v>
      </c>
      <c r="E74" s="85">
        <f t="shared" si="3"/>
        <v>234</v>
      </c>
      <c r="F74" s="85">
        <v>113</v>
      </c>
      <c r="G74" s="86">
        <v>121</v>
      </c>
      <c r="H74" s="87">
        <f>B74-E74</f>
        <v>100</v>
      </c>
      <c r="I74" s="88">
        <f>C74-F74</f>
        <v>47</v>
      </c>
      <c r="J74" s="88">
        <f>D74-G74</f>
        <v>53</v>
      </c>
    </row>
    <row r="75" spans="1:10" ht="12.75">
      <c r="A75" s="12"/>
      <c r="B75" s="85"/>
      <c r="C75" s="85"/>
      <c r="D75" s="86"/>
      <c r="E75" s="85"/>
      <c r="F75" s="85"/>
      <c r="G75" s="86"/>
      <c r="H75" s="87"/>
      <c r="I75" s="88"/>
      <c r="J75" s="88"/>
    </row>
    <row r="76" spans="1:10" ht="12.75">
      <c r="A76" s="12" t="s">
        <v>35</v>
      </c>
      <c r="B76" s="85">
        <f t="shared" si="2"/>
        <v>156</v>
      </c>
      <c r="C76" s="85">
        <v>79</v>
      </c>
      <c r="D76" s="86">
        <v>77</v>
      </c>
      <c r="E76" s="85">
        <f t="shared" si="3"/>
        <v>161</v>
      </c>
      <c r="F76" s="85">
        <v>86</v>
      </c>
      <c r="G76" s="86">
        <v>75</v>
      </c>
      <c r="H76" s="87">
        <f>B76-E76</f>
        <v>-5</v>
      </c>
      <c r="I76" s="88">
        <f>C76-F76</f>
        <v>-7</v>
      </c>
      <c r="J76" s="88">
        <f>D76-G76</f>
        <v>2</v>
      </c>
    </row>
    <row r="77" spans="1:10" ht="12.75">
      <c r="A77" s="12"/>
      <c r="B77" s="85"/>
      <c r="C77" s="85"/>
      <c r="D77" s="86"/>
      <c r="E77" s="85"/>
      <c r="F77" s="85"/>
      <c r="G77" s="86"/>
      <c r="H77" s="87"/>
      <c r="I77" s="88"/>
      <c r="J77" s="88"/>
    </row>
    <row r="78" spans="1:10" ht="12.75">
      <c r="A78" s="12" t="s">
        <v>0</v>
      </c>
      <c r="B78" s="85">
        <f t="shared" si="2"/>
        <v>5390</v>
      </c>
      <c r="C78" s="85">
        <v>2617</v>
      </c>
      <c r="D78" s="86">
        <v>2773</v>
      </c>
      <c r="E78" s="85">
        <f t="shared" si="3"/>
        <v>4351</v>
      </c>
      <c r="F78" s="85">
        <v>2171</v>
      </c>
      <c r="G78" s="86">
        <v>2180</v>
      </c>
      <c r="H78" s="87">
        <f>B78-E78</f>
        <v>1039</v>
      </c>
      <c r="I78" s="88">
        <f>C78-F78</f>
        <v>446</v>
      </c>
      <c r="J78" s="88">
        <f>D78-G78</f>
        <v>593</v>
      </c>
    </row>
    <row r="79" spans="1:10" ht="12.75">
      <c r="A79" s="12"/>
      <c r="B79" s="85"/>
      <c r="C79" s="85"/>
      <c r="D79" s="86"/>
      <c r="E79" s="85"/>
      <c r="F79" s="85"/>
      <c r="G79" s="86"/>
      <c r="H79" s="87"/>
      <c r="I79" s="88"/>
      <c r="J79" s="88"/>
    </row>
    <row r="80" spans="1:10" ht="12.75">
      <c r="A80" s="12" t="s">
        <v>46</v>
      </c>
      <c r="B80" s="85">
        <f t="shared" si="2"/>
        <v>478</v>
      </c>
      <c r="C80" s="85">
        <v>221</v>
      </c>
      <c r="D80" s="86">
        <v>257</v>
      </c>
      <c r="E80" s="85">
        <f t="shared" si="3"/>
        <v>390</v>
      </c>
      <c r="F80" s="85">
        <v>189</v>
      </c>
      <c r="G80" s="86">
        <v>201</v>
      </c>
      <c r="H80" s="87">
        <f>B80-E80</f>
        <v>88</v>
      </c>
      <c r="I80" s="88">
        <f>C80-F80</f>
        <v>32</v>
      </c>
      <c r="J80" s="88">
        <f>D80-G80</f>
        <v>56</v>
      </c>
    </row>
    <row r="81" spans="1:10" ht="12.75">
      <c r="A81" s="12"/>
      <c r="B81" s="85"/>
      <c r="C81" s="85"/>
      <c r="D81" s="86"/>
      <c r="E81" s="85"/>
      <c r="F81" s="85"/>
      <c r="G81" s="86"/>
      <c r="H81" s="87"/>
      <c r="I81" s="88"/>
      <c r="J81" s="88"/>
    </row>
    <row r="82" spans="1:10" ht="12.75">
      <c r="A82" s="12" t="s">
        <v>36</v>
      </c>
      <c r="B82" s="85">
        <f t="shared" si="2"/>
        <v>1424</v>
      </c>
      <c r="C82" s="85">
        <v>689</v>
      </c>
      <c r="D82" s="86">
        <v>735</v>
      </c>
      <c r="E82" s="85">
        <f t="shared" si="3"/>
        <v>880</v>
      </c>
      <c r="F82" s="85">
        <v>476</v>
      </c>
      <c r="G82" s="86">
        <v>404</v>
      </c>
      <c r="H82" s="87">
        <f>B82-E82</f>
        <v>544</v>
      </c>
      <c r="I82" s="88">
        <f>C82-F82</f>
        <v>213</v>
      </c>
      <c r="J82" s="88">
        <f>D82-G82</f>
        <v>331</v>
      </c>
    </row>
    <row r="83" spans="1:10" ht="12.75">
      <c r="A83" s="12"/>
      <c r="B83" s="85"/>
      <c r="C83" s="85"/>
      <c r="D83" s="86"/>
      <c r="E83" s="85"/>
      <c r="F83" s="85"/>
      <c r="G83" s="86"/>
      <c r="H83" s="87"/>
      <c r="I83" s="88"/>
      <c r="J83" s="88"/>
    </row>
    <row r="84" spans="1:10" ht="12.75">
      <c r="A84" s="12" t="s">
        <v>37</v>
      </c>
      <c r="B84" s="85">
        <f t="shared" si="2"/>
        <v>2204</v>
      </c>
      <c r="C84" s="85">
        <v>1122</v>
      </c>
      <c r="D84" s="86">
        <v>1082</v>
      </c>
      <c r="E84" s="85">
        <f t="shared" si="3"/>
        <v>1902</v>
      </c>
      <c r="F84" s="85">
        <v>971</v>
      </c>
      <c r="G84" s="86">
        <v>931</v>
      </c>
      <c r="H84" s="87">
        <f>B84-E84</f>
        <v>302</v>
      </c>
      <c r="I84" s="88">
        <f>C84-F84</f>
        <v>151</v>
      </c>
      <c r="J84" s="88">
        <f>D84-G84</f>
        <v>151</v>
      </c>
    </row>
    <row r="85" spans="1:10" ht="12.75">
      <c r="A85" s="12"/>
      <c r="B85" s="85"/>
      <c r="C85" s="85"/>
      <c r="D85" s="86"/>
      <c r="E85" s="85"/>
      <c r="F85" s="85"/>
      <c r="G85" s="86"/>
      <c r="H85" s="87"/>
      <c r="I85" s="88"/>
      <c r="J85" s="88"/>
    </row>
    <row r="86" spans="1:10" ht="12.75">
      <c r="A86" s="12" t="s">
        <v>38</v>
      </c>
      <c r="B86" s="85">
        <f t="shared" si="2"/>
        <v>1436</v>
      </c>
      <c r="C86" s="85">
        <v>706</v>
      </c>
      <c r="D86" s="86">
        <v>730</v>
      </c>
      <c r="E86" s="85">
        <f t="shared" si="3"/>
        <v>1188</v>
      </c>
      <c r="F86" s="85">
        <v>592</v>
      </c>
      <c r="G86" s="86">
        <v>596</v>
      </c>
      <c r="H86" s="87">
        <f>B86-E86</f>
        <v>248</v>
      </c>
      <c r="I86" s="88">
        <f>C86-F86</f>
        <v>114</v>
      </c>
      <c r="J86" s="88">
        <f>D86-G86</f>
        <v>134</v>
      </c>
    </row>
    <row r="87" spans="1:10" ht="12.75">
      <c r="A87" s="12"/>
      <c r="B87" s="85"/>
      <c r="C87" s="85"/>
      <c r="D87" s="86"/>
      <c r="E87" s="85"/>
      <c r="F87" s="85"/>
      <c r="G87" s="86"/>
      <c r="H87" s="87"/>
      <c r="I87" s="88"/>
      <c r="J87" s="88"/>
    </row>
    <row r="88" spans="1:10" ht="12.75">
      <c r="A88" s="12" t="s">
        <v>39</v>
      </c>
      <c r="B88" s="85">
        <f t="shared" si="2"/>
        <v>221</v>
      </c>
      <c r="C88" s="85">
        <v>104</v>
      </c>
      <c r="D88" s="86">
        <v>117</v>
      </c>
      <c r="E88" s="85">
        <f t="shared" si="3"/>
        <v>208</v>
      </c>
      <c r="F88" s="85">
        <v>95</v>
      </c>
      <c r="G88" s="86">
        <v>113</v>
      </c>
      <c r="H88" s="87">
        <f>B88-E88</f>
        <v>13</v>
      </c>
      <c r="I88" s="88">
        <f>C88-F88</f>
        <v>9</v>
      </c>
      <c r="J88" s="88">
        <f>D88-G88</f>
        <v>4</v>
      </c>
    </row>
    <row r="89" spans="1:10" ht="12.75">
      <c r="A89" s="12"/>
      <c r="B89" s="85"/>
      <c r="C89" s="85"/>
      <c r="D89" s="86"/>
      <c r="E89" s="85"/>
      <c r="F89" s="85"/>
      <c r="G89" s="86"/>
      <c r="H89" s="87"/>
      <c r="I89" s="88"/>
      <c r="J89" s="88"/>
    </row>
    <row r="90" spans="1:10" ht="12.75">
      <c r="A90" s="12" t="s">
        <v>40</v>
      </c>
      <c r="B90" s="85">
        <f t="shared" si="2"/>
        <v>37</v>
      </c>
      <c r="C90" s="85">
        <v>17</v>
      </c>
      <c r="D90" s="86">
        <v>20</v>
      </c>
      <c r="E90" s="85">
        <f t="shared" si="3"/>
        <v>24</v>
      </c>
      <c r="F90" s="85">
        <v>11</v>
      </c>
      <c r="G90" s="86">
        <v>13</v>
      </c>
      <c r="H90" s="87">
        <f>B90-E90</f>
        <v>13</v>
      </c>
      <c r="I90" s="88">
        <f>C90-F90</f>
        <v>6</v>
      </c>
      <c r="J90" s="88">
        <f>D90-G90</f>
        <v>7</v>
      </c>
    </row>
    <row r="91" spans="1:10" ht="12.75">
      <c r="A91" s="12"/>
      <c r="B91" s="85"/>
      <c r="C91" s="85"/>
      <c r="D91" s="86"/>
      <c r="E91" s="85"/>
      <c r="F91" s="85"/>
      <c r="G91" s="86"/>
      <c r="H91" s="87"/>
      <c r="I91" s="88"/>
      <c r="J91" s="88"/>
    </row>
    <row r="92" spans="1:10" ht="12.75">
      <c r="A92" s="12" t="s">
        <v>41</v>
      </c>
      <c r="B92" s="85">
        <f t="shared" si="2"/>
        <v>251</v>
      </c>
      <c r="C92" s="85">
        <v>120</v>
      </c>
      <c r="D92" s="86">
        <v>131</v>
      </c>
      <c r="E92" s="85">
        <f t="shared" si="3"/>
        <v>156</v>
      </c>
      <c r="F92" s="85">
        <v>92</v>
      </c>
      <c r="G92" s="86">
        <v>64</v>
      </c>
      <c r="H92" s="87">
        <f>B92-E92</f>
        <v>95</v>
      </c>
      <c r="I92" s="88">
        <f>C92-F92</f>
        <v>28</v>
      </c>
      <c r="J92" s="88">
        <f>D92-G92</f>
        <v>67</v>
      </c>
    </row>
    <row r="93" spans="1:10" ht="12.75">
      <c r="A93" s="12"/>
      <c r="B93" s="85"/>
      <c r="C93" s="85"/>
      <c r="D93" s="86"/>
      <c r="E93" s="85"/>
      <c r="F93" s="85"/>
      <c r="G93" s="86"/>
      <c r="H93" s="87"/>
      <c r="I93" s="88"/>
      <c r="J93" s="88"/>
    </row>
    <row r="94" spans="1:10" ht="12.75">
      <c r="A94" s="12" t="s">
        <v>42</v>
      </c>
      <c r="B94" s="85">
        <f t="shared" si="2"/>
        <v>217</v>
      </c>
      <c r="C94" s="85">
        <v>102</v>
      </c>
      <c r="D94" s="86">
        <v>115</v>
      </c>
      <c r="E94" s="85">
        <f t="shared" si="3"/>
        <v>106</v>
      </c>
      <c r="F94" s="85">
        <v>63</v>
      </c>
      <c r="G94" s="86">
        <v>43</v>
      </c>
      <c r="H94" s="87">
        <f>B94-E94</f>
        <v>111</v>
      </c>
      <c r="I94" s="88">
        <f>C94-F94</f>
        <v>39</v>
      </c>
      <c r="J94" s="88">
        <f>D94-G94</f>
        <v>72</v>
      </c>
    </row>
    <row r="95" spans="1:10" ht="12.75">
      <c r="A95" s="12"/>
      <c r="B95" s="85"/>
      <c r="C95" s="85"/>
      <c r="D95" s="86"/>
      <c r="E95" s="85"/>
      <c r="F95" s="85"/>
      <c r="G95" s="86"/>
      <c r="H95" s="87"/>
      <c r="I95" s="88"/>
      <c r="J95" s="88"/>
    </row>
    <row r="96" spans="1:10" ht="12.75">
      <c r="A96" s="12" t="s">
        <v>43</v>
      </c>
      <c r="B96" s="85">
        <f t="shared" si="2"/>
        <v>149</v>
      </c>
      <c r="C96" s="85">
        <v>69</v>
      </c>
      <c r="D96" s="86">
        <v>80</v>
      </c>
      <c r="E96" s="85">
        <f t="shared" si="3"/>
        <v>79</v>
      </c>
      <c r="F96" s="85">
        <v>41</v>
      </c>
      <c r="G96" s="86">
        <v>38</v>
      </c>
      <c r="H96" s="87">
        <f>B96-E96</f>
        <v>70</v>
      </c>
      <c r="I96" s="88">
        <f>C96-F96</f>
        <v>28</v>
      </c>
      <c r="J96" s="88">
        <f>D96-G96</f>
        <v>42</v>
      </c>
    </row>
    <row r="97" spans="1:10" ht="12.75" customHeight="1">
      <c r="A97" s="12"/>
      <c r="B97" s="85"/>
      <c r="C97" s="85"/>
      <c r="D97" s="86"/>
      <c r="E97" s="85"/>
      <c r="F97" s="85"/>
      <c r="G97" s="86"/>
      <c r="H97" s="87"/>
      <c r="I97" s="88"/>
      <c r="J97" s="88"/>
    </row>
    <row r="98" spans="1:10" ht="12.75">
      <c r="A98" s="12" t="s">
        <v>44</v>
      </c>
      <c r="B98" s="85">
        <f>SUM(B68:B97)</f>
        <v>14095</v>
      </c>
      <c r="C98" s="85">
        <f>SUM(C68:C97)</f>
        <v>6884</v>
      </c>
      <c r="D98" s="86">
        <f>SUM(D68:D96)</f>
        <v>7211</v>
      </c>
      <c r="E98" s="85">
        <f>SUM(E68:E96)</f>
        <v>11444</v>
      </c>
      <c r="F98" s="85">
        <f>SUM(F68:F96)</f>
        <v>5806</v>
      </c>
      <c r="G98" s="86">
        <f>SUM(G68:G96)</f>
        <v>5638</v>
      </c>
      <c r="H98" s="87">
        <f>B98-E98</f>
        <v>2651</v>
      </c>
      <c r="I98" s="88">
        <f>C98-F98</f>
        <v>1078</v>
      </c>
      <c r="J98" s="88">
        <f>D98-G98</f>
        <v>1573</v>
      </c>
    </row>
    <row r="99" spans="1:10" ht="12.75" customHeight="1">
      <c r="A99" s="12"/>
      <c r="B99" s="85"/>
      <c r="C99" s="85"/>
      <c r="D99" s="86"/>
      <c r="E99" s="85"/>
      <c r="F99" s="85"/>
      <c r="G99" s="86"/>
      <c r="H99" s="87"/>
      <c r="I99" s="88"/>
      <c r="J99" s="88"/>
    </row>
    <row r="100" spans="1:10" ht="12.75">
      <c r="A100" s="12" t="s">
        <v>80</v>
      </c>
      <c r="B100" s="85">
        <f>C100+D100</f>
        <v>3699</v>
      </c>
      <c r="C100" s="85">
        <v>2162</v>
      </c>
      <c r="D100" s="86">
        <v>1537</v>
      </c>
      <c r="E100" s="85">
        <f>F100+G100</f>
        <v>3709</v>
      </c>
      <c r="F100" s="85">
        <v>2256</v>
      </c>
      <c r="G100" s="86">
        <v>1453</v>
      </c>
      <c r="H100" s="87">
        <f>B100-E100</f>
        <v>-10</v>
      </c>
      <c r="I100" s="88">
        <f>C100-F100</f>
        <v>-94</v>
      </c>
      <c r="J100" s="88">
        <f>D100-G100</f>
        <v>84</v>
      </c>
    </row>
    <row r="101" spans="1:10" ht="12.75">
      <c r="A101" s="4"/>
      <c r="B101" s="85"/>
      <c r="C101" s="85"/>
      <c r="D101" s="86"/>
      <c r="E101" s="85"/>
      <c r="F101" s="85"/>
      <c r="G101" s="86"/>
      <c r="H101" s="87"/>
      <c r="I101" s="88"/>
      <c r="J101" s="88"/>
    </row>
    <row r="102" spans="1:10" ht="12.75">
      <c r="A102" s="14" t="s">
        <v>62</v>
      </c>
      <c r="B102" s="89">
        <f aca="true" t="shared" si="4" ref="B102:G102">B98+B100</f>
        <v>17794</v>
      </c>
      <c r="C102" s="89">
        <f t="shared" si="4"/>
        <v>9046</v>
      </c>
      <c r="D102" s="90">
        <f t="shared" si="4"/>
        <v>8748</v>
      </c>
      <c r="E102" s="89">
        <f t="shared" si="4"/>
        <v>15153</v>
      </c>
      <c r="F102" s="89">
        <f t="shared" si="4"/>
        <v>8062</v>
      </c>
      <c r="G102" s="90">
        <f t="shared" si="4"/>
        <v>7091</v>
      </c>
      <c r="H102" s="91">
        <f>B102-E102</f>
        <v>2641</v>
      </c>
      <c r="I102" s="92">
        <f>C102-F102</f>
        <v>984</v>
      </c>
      <c r="J102" s="92">
        <f>D102-G102</f>
        <v>1657</v>
      </c>
    </row>
    <row r="103" ht="14.25">
      <c r="A103" s="55"/>
    </row>
  </sheetData>
  <mergeCells count="32">
    <mergeCell ref="A2:J2"/>
    <mergeCell ref="A3:J3"/>
    <mergeCell ref="A6:J6"/>
    <mergeCell ref="A9:A12"/>
    <mergeCell ref="B9:D10"/>
    <mergeCell ref="E9:G10"/>
    <mergeCell ref="H9:J10"/>
    <mergeCell ref="B11:B12"/>
    <mergeCell ref="G11:G12"/>
    <mergeCell ref="I11:I12"/>
    <mergeCell ref="J11:J12"/>
    <mergeCell ref="A56:J56"/>
    <mergeCell ref="B63:D64"/>
    <mergeCell ref="E11:E12"/>
    <mergeCell ref="F11:F12"/>
    <mergeCell ref="C11:C12"/>
    <mergeCell ref="D11:D12"/>
    <mergeCell ref="E65:E66"/>
    <mergeCell ref="I65:I66"/>
    <mergeCell ref="A60:J60"/>
    <mergeCell ref="A63:A66"/>
    <mergeCell ref="J65:J66"/>
    <mergeCell ref="H11:H12"/>
    <mergeCell ref="F65:F66"/>
    <mergeCell ref="G65:G66"/>
    <mergeCell ref="H65:H66"/>
    <mergeCell ref="A57:J57"/>
    <mergeCell ref="B65:B66"/>
    <mergeCell ref="E63:G64"/>
    <mergeCell ref="H63:J64"/>
    <mergeCell ref="C65:C66"/>
    <mergeCell ref="D65:D66"/>
  </mergeCells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KaiserSa</dc:creator>
  <cp:keywords/>
  <dc:description/>
  <cp:lastModifiedBy>jaehnere</cp:lastModifiedBy>
  <cp:lastPrinted>2006-05-16T07:13:27Z</cp:lastPrinted>
  <dcterms:created xsi:type="dcterms:W3CDTF">2005-11-28T09:08:24Z</dcterms:created>
  <dcterms:modified xsi:type="dcterms:W3CDTF">2006-05-16T11:47:24Z</dcterms:modified>
  <cp:category/>
  <cp:version/>
  <cp:contentType/>
  <cp:contentStatus/>
</cp:coreProperties>
</file>