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030" activeTab="0"/>
  </bookViews>
  <sheets>
    <sheet name="A_III_1_vj" sheetId="1" r:id="rId1"/>
    <sheet name="Tabelle 1" sheetId="2" r:id="rId2"/>
    <sheet name="Tabelle 2" sheetId="3" r:id="rId3"/>
    <sheet name="Tabelle 3" sheetId="4" r:id="rId4"/>
    <sheet name="noch Tabelle 3" sheetId="5" r:id="rId5"/>
  </sheets>
  <externalReferences>
    <externalReference r:id="rId8"/>
  </externalReferences>
  <definedNames>
    <definedName name="QJ">'[1]AIII1Q Tab1 Übersicht'!$E$5</definedName>
  </definedNames>
  <calcPr fullCalcOnLoad="1"/>
</workbook>
</file>

<file path=xl/sharedStrings.xml><?xml version="1.0" encoding="utf-8"?>
<sst xmlns="http://schemas.openxmlformats.org/spreadsheetml/2006/main" count="187" uniqueCount="118">
  <si>
    <t>1. Übersicht</t>
  </si>
  <si>
    <t xml:space="preserve"> </t>
  </si>
  <si>
    <t>insgesamt</t>
  </si>
  <si>
    <t xml:space="preserve">männlich </t>
  </si>
  <si>
    <t>weiblich</t>
  </si>
  <si>
    <t>über die Landesgrenze</t>
  </si>
  <si>
    <t>Zuzüge</t>
  </si>
  <si>
    <t>Fortzüge</t>
  </si>
  <si>
    <t>Kreis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</si>
  <si>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</si>
  <si>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</si>
  <si>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</si>
  <si>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</si>
  <si>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</si>
  <si>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</si>
  <si>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</si>
  <si>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</si>
  <si>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</si>
  <si>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</si>
  <si>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</si>
  <si>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</si>
  <si>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</si>
  <si>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</si>
  <si>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</si>
  <si>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</si>
  <si>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</si>
  <si>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nach Herkunfts- und Zielgebiet</t>
  </si>
  <si>
    <t>Herkunfts-</t>
  </si>
  <si>
    <t xml:space="preserve"> bzw. Zielgebiet</t>
  </si>
  <si>
    <t>männlich</t>
  </si>
  <si>
    <t>Baden-Württemberg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</si>
  <si>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</si>
  <si>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</si>
  <si>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</si>
  <si>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</si>
  <si>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</si>
  <si>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</si>
  <si>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</si>
  <si>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</si>
  <si>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</si>
  <si>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</si>
  <si>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</si>
  <si>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</si>
  <si>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</si>
  <si>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Harburg</t>
  </si>
  <si>
    <t>Stade</t>
  </si>
  <si>
    <t>Merkmal</t>
  </si>
  <si>
    <t xml:space="preserve">Zuzüge </t>
  </si>
  <si>
    <t xml:space="preserve">Fortzüge </t>
  </si>
  <si>
    <t>Saldo</t>
  </si>
  <si>
    <t>Umzüge zwischen Ortsteilen innerhalb Hamburgs</t>
  </si>
  <si>
    <t>Umzüge zwischen Gemeinden innerhalb Schleswig-Holsteins</t>
  </si>
  <si>
    <t>Hinweis:</t>
  </si>
  <si>
    <t xml:space="preserve">Bundeszahlen veröffentlicht das Statistische Bundesamt in seiner Fachserie 1 "Bevölkerung und Erwerbstätigkeit", Reihe 1 "Gebiet und Bevölkerung". </t>
  </si>
  <si>
    <t xml:space="preserve">Rechtsgrundlage: </t>
  </si>
  <si>
    <t>Hamburg-Mitte</t>
  </si>
  <si>
    <t>Altona</t>
  </si>
  <si>
    <t>Eimsbüttel</t>
  </si>
  <si>
    <t>Hamburg-Nord</t>
  </si>
  <si>
    <t>Bergedorf</t>
  </si>
  <si>
    <t>Kreisfreie Städte zusammen</t>
  </si>
  <si>
    <t>Kreise zusammen</t>
  </si>
  <si>
    <t xml:space="preserve">   Schleswig-Holstein: über die Gemeindegrenzen.</t>
  </si>
  <si>
    <t>Bezirk
Kreisfreie Stadt</t>
  </si>
  <si>
    <r>
      <t xml:space="preserve">1  </t>
    </r>
    <r>
      <rPr>
        <sz val="7"/>
        <rFont val="Arial"/>
        <family val="2"/>
      </rPr>
      <t>Hamburg: über die Ortsteilsgrenzen.</t>
    </r>
  </si>
  <si>
    <t>Anstalt des öffentlichen Rechts</t>
  </si>
  <si>
    <t>D-20457 Hamburg, Steckelhörn 12</t>
  </si>
  <si>
    <t>D-24113 Kiel, Fröbelstraße 15-17</t>
  </si>
  <si>
    <t>Ausland</t>
  </si>
  <si>
    <t>Insgesamt</t>
  </si>
  <si>
    <t>nachrichtlich: Umland</t>
  </si>
  <si>
    <t>Hzgt. Lauenburg</t>
  </si>
  <si>
    <t>Landkreis Harburg</t>
  </si>
  <si>
    <t>Wanderungsgewinn oder -verlust (-)</t>
  </si>
  <si>
    <t>Statistisches Amt für Hamburg und Schleswig-Holstein</t>
  </si>
  <si>
    <t>www.statistik-nord.de</t>
  </si>
  <si>
    <t>Standort Hamburg:</t>
  </si>
  <si>
    <t>Standort Kiel: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</si>
  <si>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</si>
  <si>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</si>
  <si>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</si>
  <si>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</si>
  <si>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</si>
  <si>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</si>
  <si>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</si>
  <si>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</si>
  <si>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</si>
  <si>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</si>
  <si>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</si>
  <si>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</si>
  <si>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</si>
  <si>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</si>
  <si>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</si>
  <si>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</si>
  <si>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</si>
  <si>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</si>
  <si>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</si>
  <si>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Isolde Schlüter</t>
  </si>
  <si>
    <t>040 42831-1754</t>
  </si>
  <si>
    <t>Deutschland</t>
  </si>
  <si>
    <t>Isolde.Schlueter@statistik-nord.de</t>
  </si>
  <si>
    <t>Gesetz über die Statistik der Bevölkerungsbewegung und die Fortschreibung des Bevölkerungsstandes in der Fassung der Bekanntmachung vom 14. März 1980 (BGBl. I S.308), das zuletzt durch Artikel 1 des Gesetzes vom vom 18. Juli 2008 (BGBl. I S. 1290) geändert wurde.</t>
  </si>
  <si>
    <r>
      <t>innerhalb des Landes</t>
    </r>
    <r>
      <rPr>
        <vertAlign val="superscript"/>
        <sz val="10"/>
        <rFont val="Arial"/>
        <family val="2"/>
      </rPr>
      <t xml:space="preserve"> 1</t>
    </r>
  </si>
  <si>
    <r>
      <t xml:space="preserve">innerhalb des Landes </t>
    </r>
    <r>
      <rPr>
        <vertAlign val="superscript"/>
        <sz val="10"/>
        <rFont val="Arial"/>
        <family val="2"/>
      </rPr>
      <t>1</t>
    </r>
  </si>
  <si>
    <t>Wanderungs-gewinn
oder -verlust (-)</t>
  </si>
  <si>
    <t>Wandsbek</t>
  </si>
  <si>
    <t>Brandenburg</t>
  </si>
  <si>
    <t>A III 1-vj 4/10</t>
  </si>
  <si>
    <t>Die Wanderungen im 4. Vierteljahr 2010</t>
  </si>
  <si>
    <t>AIII 1 - vj 4/10 / Die Wanderungen in Hamburg und Schleswig-Holstein im 4. Vierteljahr 2010</t>
  </si>
  <si>
    <t>4. Vierteljahr 2009</t>
  </si>
  <si>
    <t>4. Vierteljahr 2010</t>
  </si>
  <si>
    <t xml:space="preserve">2. Zu- und Fortzüge im 4. Vierteljahr 2010 </t>
  </si>
  <si>
    <t>AIII 1 - vj 4/10 / Die Wanderungen in Hamburg und Schleswig-Holstein im 3. Vierteljahr 2010</t>
  </si>
  <si>
    <t xml:space="preserve">3. Zu- und Fortzüge über die Landesgrenze im 4. Vierteljahr 2010 </t>
  </si>
  <si>
    <r>
      <t>Noch:</t>
    </r>
    <r>
      <rPr>
        <b/>
        <sz val="10"/>
        <rFont val="Arial"/>
        <family val="2"/>
      </rPr>
      <t xml:space="preserve"> 3. Zu- und Fortzüge über die Landesgrenze im 4. Vierteljahr 2010 </t>
    </r>
  </si>
  <si>
    <r>
      <t xml:space="preserve">Fortzüge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</si>
  <si>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Das 4. Quartal 2009 enthält nachgelieferte Datensätze.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</si>
</sst>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,##0;\-\ #,##0;\–"/>
    <numFmt numFmtId="166" formatCode="0.0;\-\ 0.0"/>
    <numFmt numFmtId="167" formatCode="#\ ###\ ###\ "/>
    <numFmt numFmtId="168" formatCode="####\ ###\ ###\ "/>
    <numFmt numFmtId="169" formatCode="####\ ###\ ###"/>
    <numFmt numFmtId="170" formatCode="\ #,##0"/>
    <numFmt numFmtId="171" formatCode="[$-407]d/\ mmmm\ yyyy;@"/>
    <numFmt numFmtId="172" formatCode="d/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Continuous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 horizontal="centerContinuous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Continuous"/>
      <protection hidden="1"/>
    </xf>
    <xf numFmtId="0" fontId="0" fillId="0" borderId="14" xfId="0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8" fontId="0" fillId="0" borderId="0" xfId="0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 applyProtection="1">
      <alignment horizontal="centerContinuous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 horizontal="centerContinuous" vertical="center" wrapText="1"/>
      <protection hidden="1"/>
    </xf>
    <xf numFmtId="0" fontId="0" fillId="0" borderId="13" xfId="0" applyFill="1" applyBorder="1" applyAlignment="1" applyProtection="1">
      <alignment horizontal="center" vertical="top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7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0" fillId="0" borderId="12" xfId="0" applyFill="1" applyBorder="1" applyAlignment="1" applyProtection="1">
      <alignment horizontal="centerContinuous" wrapText="1"/>
      <protection/>
    </xf>
    <xf numFmtId="0" fontId="0" fillId="0" borderId="15" xfId="0" applyFill="1" applyBorder="1" applyAlignment="1">
      <alignment horizontal="centerContinuous"/>
    </xf>
    <xf numFmtId="167" fontId="3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67" fontId="6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Continuous" wrapText="1"/>
      <protection hidden="1"/>
    </xf>
    <xf numFmtId="167" fontId="6" fillId="0" borderId="0" xfId="0" applyNumberFormat="1" applyFont="1" applyFill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top" wrapText="1"/>
      <protection hidden="1"/>
    </xf>
    <xf numFmtId="0" fontId="0" fillId="0" borderId="14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2" fillId="0" borderId="16" xfId="54" applyFont="1" applyFill="1" applyBorder="1" applyAlignment="1" applyProtection="1">
      <alignment/>
      <protection hidden="1"/>
    </xf>
    <xf numFmtId="0" fontId="0" fillId="0" borderId="17" xfId="54" applyFont="1" applyFill="1" applyBorder="1" applyAlignment="1" applyProtection="1">
      <alignment/>
      <protection hidden="1"/>
    </xf>
    <xf numFmtId="0" fontId="8" fillId="0" borderId="18" xfId="48" applyFont="1" applyFill="1" applyBorder="1" applyAlignment="1" applyProtection="1">
      <alignment horizontal="left"/>
      <protection hidden="1"/>
    </xf>
    <xf numFmtId="172" fontId="0" fillId="0" borderId="12" xfId="54" applyNumberFormat="1" applyFont="1" applyFill="1" applyBorder="1" applyAlignment="1" applyProtection="1">
      <alignment horizontal="left"/>
      <protection locked="0"/>
    </xf>
    <xf numFmtId="172" fontId="0" fillId="0" borderId="19" xfId="54" applyNumberFormat="1" applyFont="1" applyFill="1" applyBorder="1" applyAlignment="1" applyProtection="1">
      <alignment horizontal="left"/>
      <protection locked="0"/>
    </xf>
    <xf numFmtId="0" fontId="2" fillId="33" borderId="20" xfId="54" applyFont="1" applyFill="1" applyBorder="1" applyAlignment="1" applyProtection="1">
      <alignment/>
      <protection hidden="1"/>
    </xf>
    <xf numFmtId="0" fontId="0" fillId="33" borderId="20" xfId="54" applyFont="1" applyFill="1" applyBorder="1" applyAlignment="1" applyProtection="1">
      <alignment/>
      <protection hidden="1"/>
    </xf>
    <xf numFmtId="0" fontId="0" fillId="33" borderId="10" xfId="54" applyFont="1" applyFill="1" applyBorder="1" applyAlignment="1" applyProtection="1">
      <alignment/>
      <protection hidden="1"/>
    </xf>
    <xf numFmtId="0" fontId="0" fillId="33" borderId="0" xfId="54" applyFont="1" applyFill="1" applyBorder="1" applyAlignment="1" applyProtection="1">
      <alignment vertical="top"/>
      <protection hidden="1"/>
    </xf>
    <xf numFmtId="0" fontId="0" fillId="33" borderId="0" xfId="54" applyFont="1" applyFill="1" applyBorder="1" applyAlignment="1" applyProtection="1">
      <alignment/>
      <protection hidden="1"/>
    </xf>
    <xf numFmtId="0" fontId="0" fillId="33" borderId="14" xfId="54" applyFont="1" applyFill="1" applyBorder="1" applyAlignment="1" applyProtection="1">
      <alignment/>
      <protection hidden="1"/>
    </xf>
    <xf numFmtId="0" fontId="8" fillId="33" borderId="21" xfId="48" applyFont="1" applyFill="1" applyBorder="1" applyAlignment="1" applyProtection="1">
      <alignment horizontal="left"/>
      <protection hidden="1"/>
    </xf>
    <xf numFmtId="0" fontId="0" fillId="33" borderId="21" xfId="54" applyFont="1" applyFill="1" applyBorder="1" applyAlignment="1" applyProtection="1">
      <alignment/>
      <protection hidden="1"/>
    </xf>
    <xf numFmtId="0" fontId="0" fillId="33" borderId="13" xfId="54" applyFont="1" applyFill="1" applyBorder="1" applyAlignment="1" applyProtection="1">
      <alignment/>
      <protection hidden="1"/>
    </xf>
    <xf numFmtId="0" fontId="0" fillId="33" borderId="20" xfId="54" applyFont="1" applyFill="1" applyBorder="1" applyProtection="1">
      <alignment/>
      <protection hidden="1"/>
    </xf>
    <xf numFmtId="0" fontId="0" fillId="33" borderId="10" xfId="54" applyFont="1" applyFill="1" applyBorder="1" applyProtection="1">
      <alignment/>
      <protection hidden="1"/>
    </xf>
    <xf numFmtId="0" fontId="0" fillId="33" borderId="0" xfId="54" applyFont="1" applyFill="1" applyBorder="1" applyProtection="1">
      <alignment/>
      <protection hidden="1"/>
    </xf>
    <xf numFmtId="0" fontId="0" fillId="33" borderId="14" xfId="54" applyFont="1" applyFill="1" applyBorder="1" applyProtection="1">
      <alignment/>
      <protection hidden="1"/>
    </xf>
    <xf numFmtId="49" fontId="0" fillId="33" borderId="0" xfId="54" applyNumberFormat="1" applyFont="1" applyFill="1" applyBorder="1" applyProtection="1">
      <alignment/>
      <protection hidden="1"/>
    </xf>
    <xf numFmtId="0" fontId="0" fillId="33" borderId="0" xfId="54" applyFont="1" applyFill="1" applyBorder="1" applyProtection="1" quotePrefix="1">
      <alignment/>
      <protection hidden="1"/>
    </xf>
    <xf numFmtId="0" fontId="10" fillId="33" borderId="21" xfId="47" applyFont="1" applyFill="1" applyBorder="1" applyAlignment="1" applyProtection="1">
      <alignment horizontal="left"/>
      <protection hidden="1"/>
    </xf>
    <xf numFmtId="0" fontId="10" fillId="33" borderId="21" xfId="48" applyFont="1" applyFill="1" applyBorder="1" applyAlignment="1" applyProtection="1">
      <alignment horizontal="left"/>
      <protection hidden="1"/>
    </xf>
    <xf numFmtId="0" fontId="10" fillId="33" borderId="13" xfId="48" applyFont="1" applyFill="1" applyBorder="1" applyAlignment="1" applyProtection="1">
      <alignment horizontal="left"/>
      <protection hidden="1"/>
    </xf>
    <xf numFmtId="0" fontId="0" fillId="33" borderId="21" xfId="54" applyFont="1" applyFill="1" applyBorder="1" applyProtection="1">
      <alignment/>
      <protection hidden="1"/>
    </xf>
    <xf numFmtId="0" fontId="2" fillId="33" borderId="0" xfId="54" applyFont="1" applyFill="1" applyBorder="1" applyAlignment="1" applyProtection="1">
      <alignment horizontal="centerContinuous"/>
      <protection hidden="1"/>
    </xf>
    <xf numFmtId="0" fontId="2" fillId="33" borderId="14" xfId="54" applyFont="1" applyFill="1" applyBorder="1" applyAlignment="1" applyProtection="1">
      <alignment horizontal="centerContinuous"/>
      <protection hidden="1"/>
    </xf>
    <xf numFmtId="0" fontId="0" fillId="33" borderId="0" xfId="54" applyFont="1" applyFill="1" applyProtection="1">
      <alignment/>
      <protection hidden="1"/>
    </xf>
    <xf numFmtId="0" fontId="0" fillId="33" borderId="16" xfId="54" applyFont="1" applyFill="1" applyBorder="1" applyProtection="1">
      <alignment/>
      <protection hidden="1"/>
    </xf>
    <xf numFmtId="0" fontId="0" fillId="33" borderId="17" xfId="54" applyFont="1" applyFill="1" applyBorder="1" applyProtection="1">
      <alignment/>
      <protection hidden="1"/>
    </xf>
    <xf numFmtId="0" fontId="0" fillId="33" borderId="18" xfId="54" applyFont="1" applyFill="1" applyBorder="1" applyProtection="1">
      <alignment/>
      <protection hidden="1"/>
    </xf>
    <xf numFmtId="0" fontId="2" fillId="33" borderId="17" xfId="54" applyFont="1" applyFill="1" applyBorder="1" applyAlignment="1" applyProtection="1">
      <alignment/>
      <protection hidden="1"/>
    </xf>
    <xf numFmtId="0" fontId="2" fillId="33" borderId="17" xfId="54" applyFont="1" applyFill="1" applyBorder="1" applyAlignment="1" applyProtection="1">
      <alignment horizontal="left"/>
      <protection hidden="1"/>
    </xf>
    <xf numFmtId="0" fontId="2" fillId="33" borderId="17" xfId="54" applyNumberFormat="1" applyFont="1" applyFill="1" applyBorder="1" applyAlignment="1" applyProtection="1">
      <alignment horizontal="left"/>
      <protection hidden="1"/>
    </xf>
    <xf numFmtId="49" fontId="0" fillId="33" borderId="20" xfId="54" applyNumberFormat="1" applyFont="1" applyFill="1" applyBorder="1" applyAlignment="1" applyProtection="1">
      <alignment horizontal="left"/>
      <protection locked="0"/>
    </xf>
    <xf numFmtId="49" fontId="0" fillId="33" borderId="10" xfId="54" applyNumberFormat="1" applyFont="1" applyFill="1" applyBorder="1" applyAlignment="1" applyProtection="1">
      <alignment horizontal="left"/>
      <protection locked="0"/>
    </xf>
    <xf numFmtId="49" fontId="0" fillId="33" borderId="0" xfId="54" applyNumberFormat="1" applyFont="1" applyFill="1" applyBorder="1" applyAlignment="1" applyProtection="1">
      <alignment horizontal="left"/>
      <protection locked="0"/>
    </xf>
    <xf numFmtId="49" fontId="0" fillId="33" borderId="14" xfId="54" applyNumberFormat="1" applyFont="1" applyFill="1" applyBorder="1" applyAlignment="1" applyProtection="1">
      <alignment horizontal="left"/>
      <protection locked="0"/>
    </xf>
    <xf numFmtId="0" fontId="11" fillId="33" borderId="21" xfId="47" applyFill="1" applyBorder="1" applyAlignment="1" applyProtection="1">
      <alignment horizontal="left"/>
      <protection locked="0"/>
    </xf>
    <xf numFmtId="0" fontId="10" fillId="33" borderId="21" xfId="48" applyFont="1" applyFill="1" applyBorder="1" applyAlignment="1" applyProtection="1">
      <alignment horizontal="left"/>
      <protection locked="0"/>
    </xf>
    <xf numFmtId="0" fontId="10" fillId="33" borderId="13" xfId="48" applyFont="1" applyFill="1" applyBorder="1" applyAlignment="1" applyProtection="1">
      <alignment horizontal="left"/>
      <protection locked="0"/>
    </xf>
    <xf numFmtId="0" fontId="0" fillId="33" borderId="16" xfId="54" applyFont="1" applyFill="1" applyBorder="1" applyAlignment="1" applyProtection="1">
      <alignment horizontal="left" vertical="top" wrapText="1"/>
      <protection hidden="1"/>
    </xf>
    <xf numFmtId="0" fontId="0" fillId="33" borderId="20" xfId="54" applyFont="1" applyFill="1" applyBorder="1" applyAlignment="1" applyProtection="1">
      <alignment horizontal="left" vertical="top" wrapText="1"/>
      <protection hidden="1"/>
    </xf>
    <xf numFmtId="0" fontId="0" fillId="33" borderId="10" xfId="54" applyFont="1" applyFill="1" applyBorder="1" applyAlignment="1" applyProtection="1">
      <alignment horizontal="left" vertical="top" wrapText="1"/>
      <protection hidden="1"/>
    </xf>
    <xf numFmtId="0" fontId="0" fillId="33" borderId="17" xfId="54" applyFont="1" applyFill="1" applyBorder="1" applyAlignment="1" applyProtection="1">
      <alignment horizontal="left" vertical="top" wrapText="1"/>
      <protection hidden="1"/>
    </xf>
    <xf numFmtId="0" fontId="0" fillId="33" borderId="0" xfId="54" applyFont="1" applyFill="1" applyBorder="1" applyAlignment="1" applyProtection="1">
      <alignment horizontal="left" vertical="top" wrapText="1"/>
      <protection hidden="1"/>
    </xf>
    <xf numFmtId="0" fontId="0" fillId="33" borderId="14" xfId="54" applyFont="1" applyFill="1" applyBorder="1" applyAlignment="1" applyProtection="1">
      <alignment horizontal="left" vertical="top" wrapText="1"/>
      <protection hidden="1"/>
    </xf>
    <xf numFmtId="0" fontId="0" fillId="33" borderId="18" xfId="54" applyFont="1" applyFill="1" applyBorder="1" applyAlignment="1" applyProtection="1">
      <alignment horizontal="left" vertical="top" wrapText="1"/>
      <protection hidden="1"/>
    </xf>
    <xf numFmtId="0" fontId="0" fillId="33" borderId="21" xfId="54" applyFont="1" applyFill="1" applyBorder="1" applyAlignment="1" applyProtection="1">
      <alignment horizontal="left" vertical="top" wrapText="1"/>
      <protection hidden="1"/>
    </xf>
    <xf numFmtId="0" fontId="0" fillId="33" borderId="13" xfId="54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Comma" xfId="49"/>
    <cellStyle name="Neutral" xfId="50"/>
    <cellStyle name="Notiz" xfId="51"/>
    <cellStyle name="Percent" xfId="52"/>
    <cellStyle name="Schlecht" xfId="53"/>
    <cellStyle name="Standard_A_I_2_vj061_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180975</xdr:rowOff>
    </xdr:to>
    <xdr:pic>
      <xdr:nvPicPr>
        <xdr:cNvPr id="2" name="Picture 2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kaisersa\Lokale%20Einstellungen\Temporary%20Internet%20Files\OLKAF0\A_III_1_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II1Q Tab1 Übersicht"/>
      <sheetName val="AIII1Q Tab2 ZuFort Kreise"/>
      <sheetName val="AIII1Q Tab3 ZuFort KreiseMonate"/>
      <sheetName val="AIII1Q Tab4 ZuFort HerkunftZiel"/>
      <sheetName val="AIII1Q Text"/>
    </sheetNames>
    <sheetDataSet>
      <sheetData sheetId="0">
        <row r="5">
          <cell r="E5" t="str">
            <v>1. Vierteljahr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3" sqref="A23:IV31"/>
    </sheetView>
  </sheetViews>
  <sheetFormatPr defaultColWidth="11.421875" defaultRowHeight="12.75"/>
  <cols>
    <col min="1" max="1" width="18.421875" style="3" customWidth="1"/>
    <col min="2" max="2" width="18.28125" style="3" customWidth="1"/>
    <col min="3" max="16384" width="11.421875" style="3" customWidth="1"/>
  </cols>
  <sheetData>
    <row r="1" spans="1:8" ht="16.5" customHeight="1">
      <c r="A1" s="74"/>
      <c r="B1" s="79" t="s">
        <v>74</v>
      </c>
      <c r="C1" s="80"/>
      <c r="D1" s="80"/>
      <c r="E1" s="80"/>
      <c r="F1" s="80"/>
      <c r="G1" s="80"/>
      <c r="H1" s="81"/>
    </row>
    <row r="2" spans="1:8" ht="18" customHeight="1">
      <c r="A2" s="75"/>
      <c r="B2" s="82" t="s">
        <v>65</v>
      </c>
      <c r="C2" s="83"/>
      <c r="D2" s="83"/>
      <c r="E2" s="83"/>
      <c r="F2" s="83"/>
      <c r="G2" s="83"/>
      <c r="H2" s="84"/>
    </row>
    <row r="3" spans="1:8" ht="17.25" customHeight="1">
      <c r="A3" s="76"/>
      <c r="B3" s="85" t="s">
        <v>75</v>
      </c>
      <c r="C3" s="86"/>
      <c r="D3" s="86"/>
      <c r="E3" s="86"/>
      <c r="F3" s="86"/>
      <c r="G3" s="86"/>
      <c r="H3" s="87"/>
    </row>
    <row r="4" spans="1:8" ht="12.75">
      <c r="A4" s="101" t="s">
        <v>76</v>
      </c>
      <c r="B4" s="88" t="s">
        <v>66</v>
      </c>
      <c r="C4" s="88"/>
      <c r="D4" s="89"/>
      <c r="E4" s="88" t="s">
        <v>77</v>
      </c>
      <c r="F4" s="88" t="s">
        <v>67</v>
      </c>
      <c r="G4" s="88"/>
      <c r="H4" s="89"/>
    </row>
    <row r="5" spans="1:8" ht="12.75">
      <c r="A5" s="102" t="s">
        <v>78</v>
      </c>
      <c r="B5" s="90" t="s">
        <v>79</v>
      </c>
      <c r="C5" s="90"/>
      <c r="D5" s="91"/>
      <c r="E5" s="90" t="s">
        <v>78</v>
      </c>
      <c r="F5" s="90" t="s">
        <v>80</v>
      </c>
      <c r="G5" s="90"/>
      <c r="H5" s="91"/>
    </row>
    <row r="6" spans="1:8" ht="12.75">
      <c r="A6" s="102" t="s">
        <v>81</v>
      </c>
      <c r="B6" s="92" t="s">
        <v>82</v>
      </c>
      <c r="C6" s="90"/>
      <c r="D6" s="91"/>
      <c r="E6" s="90" t="s">
        <v>81</v>
      </c>
      <c r="F6" s="92" t="s">
        <v>83</v>
      </c>
      <c r="G6" s="93"/>
      <c r="H6" s="91"/>
    </row>
    <row r="7" spans="1:8" ht="12.75">
      <c r="A7" s="102" t="s">
        <v>84</v>
      </c>
      <c r="B7" s="92" t="s">
        <v>85</v>
      </c>
      <c r="C7" s="90"/>
      <c r="D7" s="91"/>
      <c r="E7" s="90" t="s">
        <v>84</v>
      </c>
      <c r="F7" s="92" t="s">
        <v>86</v>
      </c>
      <c r="G7" s="93"/>
      <c r="H7" s="91"/>
    </row>
    <row r="8" spans="1:8" ht="12.75">
      <c r="A8" s="103" t="s">
        <v>87</v>
      </c>
      <c r="B8" s="94" t="s">
        <v>88</v>
      </c>
      <c r="C8" s="95"/>
      <c r="D8" s="96"/>
      <c r="E8" s="97" t="s">
        <v>87</v>
      </c>
      <c r="F8" s="95" t="s">
        <v>89</v>
      </c>
      <c r="G8" s="95"/>
      <c r="H8" s="96"/>
    </row>
    <row r="9" spans="1:8" ht="12.75">
      <c r="A9" s="101"/>
      <c r="B9" s="88"/>
      <c r="C9" s="88"/>
      <c r="D9" s="88"/>
      <c r="E9" s="88"/>
      <c r="F9" s="88"/>
      <c r="G9" s="88"/>
      <c r="H9" s="89"/>
    </row>
    <row r="10" spans="1:8" ht="12.75">
      <c r="A10" s="104" t="s">
        <v>90</v>
      </c>
      <c r="B10" s="90"/>
      <c r="C10" s="90"/>
      <c r="D10" s="90"/>
      <c r="E10" s="90"/>
      <c r="F10" s="90"/>
      <c r="G10" s="90"/>
      <c r="H10" s="91"/>
    </row>
    <row r="11" spans="1:8" ht="12.75">
      <c r="A11" s="104" t="s">
        <v>107</v>
      </c>
      <c r="B11" s="90"/>
      <c r="C11" s="98"/>
      <c r="D11" s="98"/>
      <c r="E11" s="98"/>
      <c r="F11" s="98"/>
      <c r="G11" s="98"/>
      <c r="H11" s="99"/>
    </row>
    <row r="12" spans="1:8" ht="12.75">
      <c r="A12" s="105" t="s">
        <v>108</v>
      </c>
      <c r="B12" s="90"/>
      <c r="C12" s="98"/>
      <c r="D12" s="98"/>
      <c r="E12" s="98"/>
      <c r="F12" s="98"/>
      <c r="G12" s="98"/>
      <c r="H12" s="99"/>
    </row>
    <row r="13" spans="1:8" ht="12.75">
      <c r="A13" s="106"/>
      <c r="B13" s="90"/>
      <c r="C13" s="90"/>
      <c r="D13" s="90"/>
      <c r="E13" s="90"/>
      <c r="F13" s="90"/>
      <c r="G13" s="90"/>
      <c r="H13" s="91"/>
    </row>
    <row r="14" spans="1:8" ht="12.75">
      <c r="A14" s="102"/>
      <c r="B14" s="90"/>
      <c r="C14" s="90"/>
      <c r="D14" s="90"/>
      <c r="E14" s="90"/>
      <c r="F14" s="90"/>
      <c r="G14" s="90"/>
      <c r="H14" s="91"/>
    </row>
    <row r="15" spans="1:8" ht="12.75">
      <c r="A15" s="102" t="s">
        <v>91</v>
      </c>
      <c r="B15" s="90"/>
      <c r="C15" s="100"/>
      <c r="D15" s="100"/>
      <c r="E15" s="100"/>
      <c r="F15" s="100"/>
      <c r="G15" s="90" t="s">
        <v>92</v>
      </c>
      <c r="H15" s="91"/>
    </row>
    <row r="16" spans="1:8" ht="12.75">
      <c r="A16" s="101" t="s">
        <v>93</v>
      </c>
      <c r="B16" s="107" t="s">
        <v>97</v>
      </c>
      <c r="C16" s="107"/>
      <c r="D16" s="107"/>
      <c r="E16" s="108"/>
      <c r="F16" s="100"/>
      <c r="G16" s="77">
        <v>41025</v>
      </c>
      <c r="H16" s="78"/>
    </row>
    <row r="17" spans="1:8" ht="12.75">
      <c r="A17" s="102" t="s">
        <v>81</v>
      </c>
      <c r="B17" s="109" t="s">
        <v>98</v>
      </c>
      <c r="C17" s="109"/>
      <c r="D17" s="109"/>
      <c r="E17" s="110"/>
      <c r="F17" s="90"/>
      <c r="G17" s="90"/>
      <c r="H17" s="91"/>
    </row>
    <row r="18" spans="1:8" ht="12.75">
      <c r="A18" s="103" t="s">
        <v>87</v>
      </c>
      <c r="B18" s="111" t="s">
        <v>100</v>
      </c>
      <c r="C18" s="112"/>
      <c r="D18" s="112"/>
      <c r="E18" s="113"/>
      <c r="F18" s="90"/>
      <c r="G18" s="90"/>
      <c r="H18" s="91"/>
    </row>
    <row r="19" spans="1:8" ht="12.75">
      <c r="A19" s="102"/>
      <c r="B19" s="90"/>
      <c r="C19" s="90"/>
      <c r="D19" s="90"/>
      <c r="E19" s="90"/>
      <c r="F19" s="90"/>
      <c r="G19" s="90"/>
      <c r="H19" s="91"/>
    </row>
    <row r="20" spans="1:8" ht="12.75">
      <c r="A20" s="114" t="s">
        <v>94</v>
      </c>
      <c r="B20" s="115"/>
      <c r="C20" s="115"/>
      <c r="D20" s="115"/>
      <c r="E20" s="115"/>
      <c r="F20" s="115"/>
      <c r="G20" s="115"/>
      <c r="H20" s="116"/>
    </row>
    <row r="21" spans="1:8" ht="12.75">
      <c r="A21" s="117" t="s">
        <v>95</v>
      </c>
      <c r="B21" s="118"/>
      <c r="C21" s="118"/>
      <c r="D21" s="118"/>
      <c r="E21" s="118"/>
      <c r="F21" s="118"/>
      <c r="G21" s="118"/>
      <c r="H21" s="119"/>
    </row>
    <row r="22" spans="1:8" ht="12.75">
      <c r="A22" s="120" t="s">
        <v>96</v>
      </c>
      <c r="B22" s="121"/>
      <c r="C22" s="121"/>
      <c r="D22" s="121"/>
      <c r="E22" s="121"/>
      <c r="F22" s="121"/>
      <c r="G22" s="121"/>
      <c r="H22" s="122"/>
    </row>
  </sheetData>
  <sheetProtection/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Isolde.Schlueter@statistik-nord.de"/>
    <hyperlink ref="B3" r:id="rId5" display="http://www.statistik-nord.de/"/>
  </hyperlinks>
  <printOptions/>
  <pageMargins left="0.787401575" right="0.787401575" top="0.984251969" bottom="0.984251969" header="0.4921259845" footer="0.4921259845"/>
  <pageSetup horizontalDpi="600" verticalDpi="600" orientation="portrait" paperSize="9" scale="82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26.57421875" style="3" customWidth="1"/>
    <col min="2" max="2" width="13.421875" style="3" customWidth="1"/>
    <col min="3" max="3" width="12.7109375" style="3" customWidth="1"/>
    <col min="4" max="4" width="13.00390625" style="3" customWidth="1"/>
    <col min="5" max="5" width="13.421875" style="3" customWidth="1"/>
    <col min="6" max="6" width="12.8515625" style="3" customWidth="1"/>
    <col min="7" max="7" width="13.00390625" style="3" customWidth="1"/>
    <col min="8" max="16384" width="11.421875" style="3" customWidth="1"/>
  </cols>
  <sheetData>
    <row r="1" spans="1:7" ht="12.75">
      <c r="A1" s="2" t="s">
        <v>109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 customHeight="1">
      <c r="A3" s="35" t="s">
        <v>0</v>
      </c>
      <c r="B3" s="4"/>
      <c r="C3" s="4"/>
      <c r="D3" s="4"/>
      <c r="E3" s="4"/>
      <c r="F3" s="4"/>
      <c r="G3" s="4"/>
    </row>
    <row r="4" spans="1:7" ht="12.75">
      <c r="A4" s="4" t="s">
        <v>1</v>
      </c>
      <c r="B4" s="4"/>
      <c r="C4" s="4"/>
      <c r="D4" s="4"/>
      <c r="E4" s="4"/>
      <c r="F4" s="4"/>
      <c r="G4" s="4"/>
    </row>
    <row r="5" spans="1:7" ht="12.75">
      <c r="A5" s="5"/>
      <c r="B5" s="6" t="s">
        <v>110</v>
      </c>
      <c r="C5" s="6"/>
      <c r="D5" s="6"/>
      <c r="E5" s="6" t="s">
        <v>111</v>
      </c>
      <c r="F5" s="6"/>
      <c r="G5" s="7"/>
    </row>
    <row r="6" spans="1:7" ht="12.75">
      <c r="A6" s="8" t="s">
        <v>46</v>
      </c>
      <c r="B6" s="9" t="s">
        <v>2</v>
      </c>
      <c r="C6" s="9" t="s">
        <v>3</v>
      </c>
      <c r="D6" s="9" t="s">
        <v>4</v>
      </c>
      <c r="E6" s="9" t="s">
        <v>2</v>
      </c>
      <c r="F6" s="9" t="s">
        <v>3</v>
      </c>
      <c r="G6" s="10" t="s">
        <v>4</v>
      </c>
    </row>
    <row r="7" spans="1:7" ht="12.75">
      <c r="A7" s="64"/>
      <c r="B7" s="65"/>
      <c r="C7" s="65"/>
      <c r="D7" s="65"/>
      <c r="E7" s="65"/>
      <c r="F7" s="65"/>
      <c r="G7" s="65"/>
    </row>
    <row r="8" spans="1:7" ht="12.75">
      <c r="A8" s="15"/>
      <c r="B8" s="56" t="s">
        <v>34</v>
      </c>
      <c r="C8" s="11"/>
      <c r="D8" s="11"/>
      <c r="E8" s="11"/>
      <c r="F8" s="11"/>
      <c r="G8" s="11"/>
    </row>
    <row r="9" spans="1:7" ht="12.75">
      <c r="A9" s="15"/>
      <c r="B9" s="56"/>
      <c r="C9" s="11"/>
      <c r="D9" s="11"/>
      <c r="E9" s="11"/>
      <c r="F9" s="11"/>
      <c r="G9" s="11"/>
    </row>
    <row r="10" spans="1:7" ht="12.75">
      <c r="A10" s="12" t="s">
        <v>47</v>
      </c>
      <c r="B10" s="13">
        <f>5676+6606+8638</f>
        <v>20920</v>
      </c>
      <c r="C10" s="13">
        <f>3215+3538+4430</f>
        <v>11183</v>
      </c>
      <c r="D10" s="13">
        <f>B10-C10</f>
        <v>9737</v>
      </c>
      <c r="E10" s="13">
        <f>5651+7233+7986</f>
        <v>20870</v>
      </c>
      <c r="F10" s="13">
        <f>3044+3839+4113</f>
        <v>10996</v>
      </c>
      <c r="G10" s="13">
        <f>E10-F10</f>
        <v>9874</v>
      </c>
    </row>
    <row r="11" spans="1:7" ht="14.25">
      <c r="A11" s="63" t="s">
        <v>116</v>
      </c>
      <c r="B11" s="13">
        <f>14808+7092+7470</f>
        <v>29370</v>
      </c>
      <c r="C11" s="13">
        <f>8926+3972+3927</f>
        <v>16825</v>
      </c>
      <c r="D11" s="13">
        <f>B11-C11</f>
        <v>12545</v>
      </c>
      <c r="E11" s="13">
        <f>5701+6176+6841</f>
        <v>18718</v>
      </c>
      <c r="F11" s="13">
        <f>3020+3274+3545</f>
        <v>9839</v>
      </c>
      <c r="G11" s="13">
        <f>E11-F11</f>
        <v>8879</v>
      </c>
    </row>
    <row r="12" spans="1:7" ht="12.75">
      <c r="A12" s="12" t="s">
        <v>49</v>
      </c>
      <c r="B12" s="13">
        <f aca="true" t="shared" si="0" ref="B12:G12">B10-B11</f>
        <v>-8450</v>
      </c>
      <c r="C12" s="13">
        <f t="shared" si="0"/>
        <v>-5642</v>
      </c>
      <c r="D12" s="13">
        <f t="shared" si="0"/>
        <v>-2808</v>
      </c>
      <c r="E12" s="13">
        <f t="shared" si="0"/>
        <v>2152</v>
      </c>
      <c r="F12" s="13">
        <f t="shared" si="0"/>
        <v>1157</v>
      </c>
      <c r="G12" s="13">
        <f t="shared" si="0"/>
        <v>995</v>
      </c>
    </row>
    <row r="13" spans="1:7" ht="25.5">
      <c r="A13" s="12" t="s">
        <v>50</v>
      </c>
      <c r="B13" s="14">
        <f>7487+8427+9200</f>
        <v>25114</v>
      </c>
      <c r="C13" s="14">
        <f>4584+4185+3722</f>
        <v>12491</v>
      </c>
      <c r="D13" s="13">
        <f>B13-C13</f>
        <v>12623</v>
      </c>
      <c r="E13" s="14">
        <f>7610+8933+7714</f>
        <v>24257</v>
      </c>
      <c r="F13" s="14">
        <f>3804+4360+3785</f>
        <v>11949</v>
      </c>
      <c r="G13" s="13">
        <f>E13-F13</f>
        <v>12308</v>
      </c>
    </row>
    <row r="14" spans="1:7" ht="12.75">
      <c r="A14" s="12"/>
      <c r="B14" s="14"/>
      <c r="C14" s="14"/>
      <c r="D14" s="13"/>
      <c r="E14" s="14"/>
      <c r="F14" s="14"/>
      <c r="G14" s="13"/>
    </row>
    <row r="15" spans="1:7" ht="12.75">
      <c r="A15" s="15"/>
      <c r="B15" s="56" t="s">
        <v>25</v>
      </c>
      <c r="C15" s="11"/>
      <c r="D15" s="11"/>
      <c r="E15" s="11"/>
      <c r="F15" s="11"/>
      <c r="G15" s="11"/>
    </row>
    <row r="16" spans="1:7" ht="12.75">
      <c r="A16" s="15"/>
      <c r="B16" s="56"/>
      <c r="C16" s="11"/>
      <c r="D16" s="11"/>
      <c r="E16" s="11"/>
      <c r="F16" s="11"/>
      <c r="G16" s="11"/>
    </row>
    <row r="17" spans="1:7" ht="12.75">
      <c r="A17" s="12" t="s">
        <v>47</v>
      </c>
      <c r="B17" s="13">
        <f>4804+6186+7352</f>
        <v>18342</v>
      </c>
      <c r="C17" s="13">
        <f>2479+3145+3657</f>
        <v>9281</v>
      </c>
      <c r="D17" s="13">
        <f>B17-C17</f>
        <v>9061</v>
      </c>
      <c r="E17" s="13">
        <f>7525+6351+5266</f>
        <v>19142</v>
      </c>
      <c r="F17" s="13">
        <f>3719+3203+2656</f>
        <v>9578</v>
      </c>
      <c r="G17" s="13">
        <f>E17-F17</f>
        <v>9564</v>
      </c>
    </row>
    <row r="18" spans="1:7" ht="12.75">
      <c r="A18" s="12" t="s">
        <v>48</v>
      </c>
      <c r="B18" s="13">
        <f>6556+5102+4190</f>
        <v>15848</v>
      </c>
      <c r="C18" s="13">
        <f>3288+2656+2230</f>
        <v>8174</v>
      </c>
      <c r="D18" s="13">
        <f>B18-C18</f>
        <v>7674</v>
      </c>
      <c r="E18" s="13">
        <f>6419+5555+4376</f>
        <v>16350</v>
      </c>
      <c r="F18" s="13">
        <f>3180+2878+2309</f>
        <v>8367</v>
      </c>
      <c r="G18" s="13">
        <f>E18-F18</f>
        <v>7983</v>
      </c>
    </row>
    <row r="19" spans="1:7" ht="12.75">
      <c r="A19" s="12" t="s">
        <v>49</v>
      </c>
      <c r="B19" s="13">
        <f aca="true" t="shared" si="1" ref="B19:G19">B17-B18</f>
        <v>2494</v>
      </c>
      <c r="C19" s="13">
        <f t="shared" si="1"/>
        <v>1107</v>
      </c>
      <c r="D19" s="13">
        <f t="shared" si="1"/>
        <v>1387</v>
      </c>
      <c r="E19" s="13">
        <f t="shared" si="1"/>
        <v>2792</v>
      </c>
      <c r="F19" s="13">
        <f t="shared" si="1"/>
        <v>1211</v>
      </c>
      <c r="G19" s="13">
        <f t="shared" si="1"/>
        <v>1581</v>
      </c>
    </row>
    <row r="20" spans="1:7" ht="25.5">
      <c r="A20" s="16" t="s">
        <v>51</v>
      </c>
      <c r="B20" s="14">
        <f>8101+9817+10876</f>
        <v>28794</v>
      </c>
      <c r="C20" s="14">
        <f>5316+4889+4065</f>
        <v>14270</v>
      </c>
      <c r="D20" s="13">
        <f>B20-C20</f>
        <v>14524</v>
      </c>
      <c r="E20" s="14">
        <f>10180+9950+8370</f>
        <v>28500</v>
      </c>
      <c r="F20" s="14">
        <f>4963+4886+4256</f>
        <v>14105</v>
      </c>
      <c r="G20" s="13">
        <f>E20-F20</f>
        <v>14395</v>
      </c>
    </row>
    <row r="21" spans="1:7" ht="12.75">
      <c r="A21" s="1"/>
      <c r="B21" s="14"/>
      <c r="C21" s="14"/>
      <c r="D21" s="13"/>
      <c r="E21" s="14"/>
      <c r="F21" s="14"/>
      <c r="G21" s="13"/>
    </row>
    <row r="22" spans="1:7" ht="12.75">
      <c r="A22" s="1"/>
      <c r="B22" s="14"/>
      <c r="C22" s="14"/>
      <c r="D22" s="13"/>
      <c r="E22" s="14"/>
      <c r="F22" s="14"/>
      <c r="G22" s="13"/>
    </row>
    <row r="23" spans="1:7" ht="12.75">
      <c r="A23" s="72" t="s">
        <v>117</v>
      </c>
      <c r="B23" s="72"/>
      <c r="C23" s="72"/>
      <c r="D23" s="14"/>
      <c r="E23" s="14"/>
      <c r="F23" s="14"/>
      <c r="G23" s="14"/>
    </row>
    <row r="24" spans="1:7" ht="12.75">
      <c r="A24" s="1"/>
      <c r="B24" s="14"/>
      <c r="C24" s="14"/>
      <c r="D24" s="14"/>
      <c r="E24" s="14"/>
      <c r="F24" s="14"/>
      <c r="G24" s="14"/>
    </row>
    <row r="25" spans="1:7" ht="12.75">
      <c r="A25" s="17" t="s">
        <v>52</v>
      </c>
      <c r="B25" s="18"/>
      <c r="C25" s="18"/>
      <c r="D25" s="18"/>
      <c r="E25" s="18"/>
      <c r="F25" s="18"/>
      <c r="G25" s="18"/>
    </row>
    <row r="26" spans="1:7" ht="25.5">
      <c r="A26" s="19" t="s">
        <v>53</v>
      </c>
      <c r="B26" s="19"/>
      <c r="C26" s="19"/>
      <c r="D26" s="19"/>
      <c r="E26" s="19"/>
      <c r="F26" s="19"/>
      <c r="G26" s="19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7" t="s">
        <v>54</v>
      </c>
      <c r="B28" s="18"/>
      <c r="C28" s="18"/>
      <c r="D28" s="18"/>
      <c r="E28" s="18"/>
      <c r="F28" s="18"/>
      <c r="G28" s="18"/>
    </row>
    <row r="29" spans="1:7" ht="36" customHeight="1">
      <c r="A29" s="19" t="s">
        <v>101</v>
      </c>
      <c r="B29" s="19"/>
      <c r="C29" s="19"/>
      <c r="D29" s="19"/>
      <c r="E29" s="19"/>
      <c r="F29" s="19"/>
      <c r="G29" s="19"/>
    </row>
  </sheetData>
  <sheetProtection/>
  <mergeCells count="1">
    <mergeCell ref="A23:C23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00390625" style="18" customWidth="1"/>
    <col min="2" max="2" width="9.57421875" style="18" bestFit="1" customWidth="1"/>
    <col min="3" max="3" width="10.57421875" style="18" bestFit="1" customWidth="1"/>
    <col min="4" max="4" width="12.28125" style="18" customWidth="1"/>
    <col min="5" max="5" width="9.57421875" style="18" bestFit="1" customWidth="1"/>
    <col min="6" max="6" width="10.57421875" style="18" bestFit="1" customWidth="1"/>
    <col min="7" max="7" width="12.28125" style="18" customWidth="1"/>
    <col min="8" max="8" width="11.28125" style="18" customWidth="1"/>
    <col min="9" max="16384" width="11.421875" style="18" customWidth="1"/>
  </cols>
  <sheetData>
    <row r="1" spans="1:8" ht="12.75">
      <c r="A1" s="20" t="s">
        <v>109</v>
      </c>
      <c r="B1" s="20"/>
      <c r="C1" s="20"/>
      <c r="D1" s="20"/>
      <c r="E1" s="20"/>
      <c r="F1" s="20"/>
      <c r="G1" s="20"/>
      <c r="H1" s="20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58" t="s">
        <v>112</v>
      </c>
      <c r="B3" s="20"/>
      <c r="C3" s="20"/>
      <c r="D3" s="20"/>
      <c r="E3" s="20"/>
      <c r="F3" s="20"/>
      <c r="G3" s="20"/>
      <c r="H3" s="20"/>
    </row>
    <row r="4" spans="1:8" ht="12.75">
      <c r="A4" s="21"/>
      <c r="B4" s="21"/>
      <c r="C4" s="21"/>
      <c r="D4" s="21"/>
      <c r="E4" s="21"/>
      <c r="F4" s="21"/>
      <c r="G4" s="21"/>
      <c r="H4" s="21"/>
    </row>
    <row r="5" spans="1:8" ht="51">
      <c r="A5" s="22" t="s">
        <v>63</v>
      </c>
      <c r="B5" s="23" t="s">
        <v>6</v>
      </c>
      <c r="C5" s="23"/>
      <c r="D5" s="23"/>
      <c r="E5" s="23" t="s">
        <v>7</v>
      </c>
      <c r="F5" s="23"/>
      <c r="G5" s="23"/>
      <c r="H5" s="57" t="s">
        <v>104</v>
      </c>
    </row>
    <row r="6" spans="1:8" ht="41.25">
      <c r="A6" s="24" t="s">
        <v>8</v>
      </c>
      <c r="B6" s="25" t="s">
        <v>2</v>
      </c>
      <c r="C6" s="26" t="s">
        <v>102</v>
      </c>
      <c r="D6" s="25" t="s">
        <v>5</v>
      </c>
      <c r="E6" s="25" t="s">
        <v>2</v>
      </c>
      <c r="F6" s="26" t="s">
        <v>103</v>
      </c>
      <c r="G6" s="25" t="s">
        <v>5</v>
      </c>
      <c r="H6" s="36" t="s">
        <v>9</v>
      </c>
    </row>
    <row r="7" spans="1:8" ht="12.75">
      <c r="A7" s="68"/>
      <c r="B7" s="66"/>
      <c r="C7" s="67"/>
      <c r="D7" s="66"/>
      <c r="E7" s="66"/>
      <c r="F7" s="67"/>
      <c r="G7" s="66"/>
      <c r="H7" s="66"/>
    </row>
    <row r="8" spans="1:8" ht="12.75">
      <c r="A8" s="15"/>
      <c r="B8" s="27" t="s">
        <v>34</v>
      </c>
      <c r="C8" s="28"/>
      <c r="D8" s="28"/>
      <c r="E8" s="28"/>
      <c r="F8" s="28"/>
      <c r="G8" s="28"/>
      <c r="H8" s="28"/>
    </row>
    <row r="9" spans="1:8" ht="12.75">
      <c r="A9" s="15"/>
      <c r="B9" s="27"/>
      <c r="C9" s="28"/>
      <c r="D9" s="28"/>
      <c r="E9" s="28"/>
      <c r="F9" s="28"/>
      <c r="G9" s="28"/>
      <c r="H9" s="28"/>
    </row>
    <row r="10" spans="1:8" ht="12.75">
      <c r="A10" s="29" t="s">
        <v>55</v>
      </c>
      <c r="B10" s="13">
        <f>C10+D10</f>
        <v>8145</v>
      </c>
      <c r="C10" s="13">
        <f>1075+1438+1109</f>
        <v>3622</v>
      </c>
      <c r="D10" s="13">
        <f>1168+1607+1748</f>
        <v>4523</v>
      </c>
      <c r="E10" s="13">
        <f>F10+G10</f>
        <v>7562</v>
      </c>
      <c r="F10" s="13">
        <f>1271+1254+1496</f>
        <v>4021</v>
      </c>
      <c r="G10" s="13">
        <f>1082+1197+1262</f>
        <v>3541</v>
      </c>
      <c r="H10" s="30">
        <f>B10-E10</f>
        <v>583</v>
      </c>
    </row>
    <row r="11" spans="1:8" ht="12.75">
      <c r="A11" s="29" t="s">
        <v>56</v>
      </c>
      <c r="B11" s="13">
        <f aca="true" t="shared" si="0" ref="B11:B41">C11+D11</f>
        <v>6507</v>
      </c>
      <c r="C11" s="13">
        <f>1250+1436+1127</f>
        <v>3813</v>
      </c>
      <c r="D11" s="13">
        <f>991+972+731</f>
        <v>2694</v>
      </c>
      <c r="E11" s="13">
        <f aca="true" t="shared" si="1" ref="E11:E18">F11+G11</f>
        <v>6219</v>
      </c>
      <c r="F11" s="13">
        <f>1149+1358+1095</f>
        <v>3602</v>
      </c>
      <c r="G11" s="13">
        <f>1105+798+714</f>
        <v>2617</v>
      </c>
      <c r="H11" s="30">
        <f aca="true" t="shared" si="2" ref="H11:H43">B11-E11</f>
        <v>288</v>
      </c>
    </row>
    <row r="12" spans="1:8" ht="12.75">
      <c r="A12" s="29" t="s">
        <v>57</v>
      </c>
      <c r="B12" s="13">
        <f t="shared" si="0"/>
        <v>6627</v>
      </c>
      <c r="C12" s="13">
        <f>1211+1343+1149</f>
        <v>3703</v>
      </c>
      <c r="D12" s="13">
        <f>824+960+1140</f>
        <v>2924</v>
      </c>
      <c r="E12" s="13">
        <f t="shared" si="1"/>
        <v>6514</v>
      </c>
      <c r="F12" s="13">
        <f>1280+1360+1160</f>
        <v>3800</v>
      </c>
      <c r="G12" s="13">
        <f>798+912+1004</f>
        <v>2714</v>
      </c>
      <c r="H12" s="30">
        <f t="shared" si="2"/>
        <v>113</v>
      </c>
    </row>
    <row r="13" spans="1:8" ht="12.75">
      <c r="A13" s="29" t="s">
        <v>58</v>
      </c>
      <c r="B13" s="13">
        <f t="shared" si="0"/>
        <v>9089</v>
      </c>
      <c r="C13" s="13">
        <f>1541+1712+1492</f>
        <v>4745</v>
      </c>
      <c r="D13" s="13">
        <f>1681+1431+1232</f>
        <v>4344</v>
      </c>
      <c r="E13" s="13">
        <f t="shared" si="1"/>
        <v>8713</v>
      </c>
      <c r="F13" s="13">
        <f>1742+1874+1661</f>
        <v>5277</v>
      </c>
      <c r="G13" s="13">
        <f>1207+1169+1060</f>
        <v>3436</v>
      </c>
      <c r="H13" s="30">
        <f t="shared" si="2"/>
        <v>376</v>
      </c>
    </row>
    <row r="14" spans="1:8" ht="12.75">
      <c r="A14" s="29" t="s">
        <v>105</v>
      </c>
      <c r="B14" s="13">
        <f t="shared" si="0"/>
        <v>8778</v>
      </c>
      <c r="C14" s="13">
        <f>1726+1831+1757</f>
        <v>5314</v>
      </c>
      <c r="D14" s="13">
        <f>955+1241+1268</f>
        <v>3464</v>
      </c>
      <c r="E14" s="13">
        <f t="shared" si="1"/>
        <v>8072</v>
      </c>
      <c r="F14" s="13">
        <f>1412+1665+1473</f>
        <v>4550</v>
      </c>
      <c r="G14" s="13">
        <f>1244+1171+1107</f>
        <v>3522</v>
      </c>
      <c r="H14" s="30">
        <f t="shared" si="2"/>
        <v>706</v>
      </c>
    </row>
    <row r="15" spans="1:8" ht="12.75">
      <c r="A15" s="29" t="s">
        <v>59</v>
      </c>
      <c r="B15" s="13">
        <f t="shared" si="0"/>
        <v>2260</v>
      </c>
      <c r="C15" s="13">
        <f>322+457+468</f>
        <v>1247</v>
      </c>
      <c r="D15" s="13">
        <f>383+383+247</f>
        <v>1013</v>
      </c>
      <c r="E15" s="13">
        <f t="shared" si="1"/>
        <v>2346</v>
      </c>
      <c r="F15" s="13">
        <f>293+441+446</f>
        <v>1180</v>
      </c>
      <c r="G15" s="13">
        <f>389+359+418</f>
        <v>1166</v>
      </c>
      <c r="H15" s="30">
        <f t="shared" si="2"/>
        <v>-86</v>
      </c>
    </row>
    <row r="16" spans="1:8" ht="12.75">
      <c r="A16" s="29" t="s">
        <v>44</v>
      </c>
      <c r="B16" s="13">
        <f t="shared" si="0"/>
        <v>3721</v>
      </c>
      <c r="C16" s="13">
        <f>485+716+612</f>
        <v>1813</v>
      </c>
      <c r="D16" s="13">
        <f>494+639+775</f>
        <v>1908</v>
      </c>
      <c r="E16" s="13">
        <f t="shared" si="1"/>
        <v>3549</v>
      </c>
      <c r="F16" s="13">
        <f>463+739+625</f>
        <v>1827</v>
      </c>
      <c r="G16" s="13">
        <f>601+570+551</f>
        <v>1722</v>
      </c>
      <c r="H16" s="30">
        <f t="shared" si="2"/>
        <v>172</v>
      </c>
    </row>
    <row r="17" spans="1:8" ht="12.75">
      <c r="A17" s="29"/>
      <c r="B17" s="13"/>
      <c r="C17" s="13"/>
      <c r="D17" s="13"/>
      <c r="E17" s="13"/>
      <c r="F17" s="13"/>
      <c r="G17" s="13"/>
      <c r="H17" s="30"/>
    </row>
    <row r="18" spans="1:8" ht="12.75">
      <c r="A18" s="31" t="s">
        <v>34</v>
      </c>
      <c r="B18" s="59">
        <f t="shared" si="0"/>
        <v>45127</v>
      </c>
      <c r="C18" s="32">
        <f>SUM(C10:C16)</f>
        <v>24257</v>
      </c>
      <c r="D18" s="32">
        <f>SUM(D10:D16)</f>
        <v>20870</v>
      </c>
      <c r="E18" s="59">
        <f t="shared" si="1"/>
        <v>42975</v>
      </c>
      <c r="F18" s="32">
        <f>SUM(F10:F16)</f>
        <v>24257</v>
      </c>
      <c r="G18" s="32">
        <f>SUM(G10:G16)</f>
        <v>18718</v>
      </c>
      <c r="H18" s="33">
        <f t="shared" si="2"/>
        <v>2152</v>
      </c>
    </row>
    <row r="19" spans="1:8" ht="12.75">
      <c r="A19" s="31"/>
      <c r="B19" s="59"/>
      <c r="C19" s="32"/>
      <c r="D19" s="32"/>
      <c r="E19" s="59"/>
      <c r="F19" s="32"/>
      <c r="G19" s="32"/>
      <c r="H19" s="33"/>
    </row>
    <row r="20" spans="1:8" ht="12.75">
      <c r="A20" s="15"/>
      <c r="B20" s="28" t="s">
        <v>25</v>
      </c>
      <c r="C20" s="28"/>
      <c r="D20" s="28"/>
      <c r="E20" s="28"/>
      <c r="F20" s="28"/>
      <c r="G20" s="28"/>
      <c r="H20" s="28"/>
    </row>
    <row r="21" spans="1:8" ht="12.75">
      <c r="A21" s="15"/>
      <c r="B21" s="28"/>
      <c r="C21" s="28"/>
      <c r="D21" s="28"/>
      <c r="E21" s="28"/>
      <c r="F21" s="28"/>
      <c r="G21" s="28"/>
      <c r="H21" s="28"/>
    </row>
    <row r="22" spans="1:8" ht="12.75">
      <c r="A22" s="29" t="s">
        <v>10</v>
      </c>
      <c r="B22" s="61">
        <f t="shared" si="0"/>
        <v>1736</v>
      </c>
      <c r="C22" s="13">
        <f>245+288+385</f>
        <v>918</v>
      </c>
      <c r="D22" s="13">
        <f>176+214+428</f>
        <v>818</v>
      </c>
      <c r="E22" s="13">
        <f>F22+G22</f>
        <v>1521</v>
      </c>
      <c r="F22" s="13">
        <f>307+308+220</f>
        <v>835</v>
      </c>
      <c r="G22" s="13">
        <f>159+224+303</f>
        <v>686</v>
      </c>
      <c r="H22" s="60">
        <f t="shared" si="2"/>
        <v>215</v>
      </c>
    </row>
    <row r="23" spans="1:8" ht="12.75">
      <c r="A23" s="29" t="s">
        <v>11</v>
      </c>
      <c r="B23" s="61">
        <f t="shared" si="0"/>
        <v>4336</v>
      </c>
      <c r="C23" s="13">
        <f>504+656+852</f>
        <v>2012</v>
      </c>
      <c r="D23" s="13">
        <f>1208+716+400</f>
        <v>2324</v>
      </c>
      <c r="E23" s="13">
        <f aca="true" t="shared" si="3" ref="E23:E39">F23+G23</f>
        <v>3268</v>
      </c>
      <c r="F23" s="13">
        <f>471+561+615</f>
        <v>1647</v>
      </c>
      <c r="G23" s="13">
        <f>688+558+375</f>
        <v>1621</v>
      </c>
      <c r="H23" s="60">
        <f t="shared" si="2"/>
        <v>1068</v>
      </c>
    </row>
    <row r="24" spans="1:8" ht="12.75">
      <c r="A24" s="29" t="s">
        <v>12</v>
      </c>
      <c r="B24" s="61">
        <f t="shared" si="0"/>
        <v>2757</v>
      </c>
      <c r="C24" s="13">
        <f>377+369+293</f>
        <v>1039</v>
      </c>
      <c r="D24" s="13">
        <f>755+566+397</f>
        <v>1718</v>
      </c>
      <c r="E24" s="13">
        <f t="shared" si="3"/>
        <v>2541</v>
      </c>
      <c r="F24" s="13">
        <f>418+369+284</f>
        <v>1071</v>
      </c>
      <c r="G24" s="13">
        <f>425+468+577</f>
        <v>1470</v>
      </c>
      <c r="H24" s="60">
        <f t="shared" si="2"/>
        <v>216</v>
      </c>
    </row>
    <row r="25" spans="1:8" ht="12.75">
      <c r="A25" s="29" t="s">
        <v>13</v>
      </c>
      <c r="B25" s="61">
        <f t="shared" si="0"/>
        <v>1117</v>
      </c>
      <c r="C25" s="13">
        <f>163+175+164</f>
        <v>502</v>
      </c>
      <c r="D25" s="13">
        <f>147+224+244</f>
        <v>615</v>
      </c>
      <c r="E25" s="13">
        <f t="shared" si="3"/>
        <v>1202</v>
      </c>
      <c r="F25" s="13">
        <f>301+234+250</f>
        <v>785</v>
      </c>
      <c r="G25" s="13">
        <f>182+136+99</f>
        <v>417</v>
      </c>
      <c r="H25" s="60">
        <f t="shared" si="2"/>
        <v>-85</v>
      </c>
    </row>
    <row r="26" spans="1:8" ht="12.75">
      <c r="A26" s="29"/>
      <c r="B26" s="61"/>
      <c r="C26" s="13"/>
      <c r="D26" s="13"/>
      <c r="E26" s="13"/>
      <c r="F26" s="13"/>
      <c r="G26" s="13"/>
      <c r="H26" s="60"/>
    </row>
    <row r="27" spans="1:8" ht="12.75" customHeight="1">
      <c r="A27" s="29" t="s">
        <v>60</v>
      </c>
      <c r="B27" s="61">
        <f t="shared" si="0"/>
        <v>9946</v>
      </c>
      <c r="C27" s="13">
        <f>SUM(C22:C25)</f>
        <v>4471</v>
      </c>
      <c r="D27" s="13">
        <f>SUM(D22:D25)</f>
        <v>5475</v>
      </c>
      <c r="E27" s="13">
        <f t="shared" si="3"/>
        <v>8532</v>
      </c>
      <c r="F27" s="13">
        <f>SUM(F22:F25)</f>
        <v>4338</v>
      </c>
      <c r="G27" s="13">
        <f>SUM(G22:G25)</f>
        <v>4194</v>
      </c>
      <c r="H27" s="60">
        <f t="shared" si="2"/>
        <v>1414</v>
      </c>
    </row>
    <row r="28" spans="1:8" ht="12.75" customHeight="1">
      <c r="A28" s="29"/>
      <c r="B28" s="61"/>
      <c r="C28" s="13"/>
      <c r="D28" s="13"/>
      <c r="E28" s="13"/>
      <c r="F28" s="13"/>
      <c r="G28" s="13"/>
      <c r="H28" s="60"/>
    </row>
    <row r="29" spans="1:8" ht="12.75">
      <c r="A29" s="29" t="s">
        <v>14</v>
      </c>
      <c r="B29" s="61">
        <f t="shared" si="0"/>
        <v>2395</v>
      </c>
      <c r="C29" s="13">
        <f>544+651+612</f>
        <v>1807</v>
      </c>
      <c r="D29" s="13">
        <f>222+205+161</f>
        <v>588</v>
      </c>
      <c r="E29" s="13">
        <f t="shared" si="3"/>
        <v>2501</v>
      </c>
      <c r="F29" s="13">
        <f>541+660+656</f>
        <v>1857</v>
      </c>
      <c r="G29" s="13">
        <f>168+208+268</f>
        <v>644</v>
      </c>
      <c r="H29" s="60">
        <f t="shared" si="2"/>
        <v>-106</v>
      </c>
    </row>
    <row r="30" spans="1:8" ht="12.75">
      <c r="A30" s="29" t="s">
        <v>15</v>
      </c>
      <c r="B30" s="61">
        <f t="shared" si="0"/>
        <v>3368</v>
      </c>
      <c r="C30" s="13">
        <f>634+589+553</f>
        <v>1776</v>
      </c>
      <c r="D30" s="13">
        <f>517+544+531</f>
        <v>1592</v>
      </c>
      <c r="E30" s="13">
        <f t="shared" si="3"/>
        <v>2987</v>
      </c>
      <c r="F30" s="13">
        <f>532+597+590</f>
        <v>1719</v>
      </c>
      <c r="G30" s="13">
        <f>455+444+369</f>
        <v>1268</v>
      </c>
      <c r="H30" s="60">
        <f t="shared" si="2"/>
        <v>381</v>
      </c>
    </row>
    <row r="31" spans="1:8" ht="12.75">
      <c r="A31" s="29" t="s">
        <v>16</v>
      </c>
      <c r="B31" s="61">
        <f t="shared" si="0"/>
        <v>2930</v>
      </c>
      <c r="C31" s="13">
        <f>600+785+644</f>
        <v>2029</v>
      </c>
      <c r="D31" s="13">
        <f>339+303+259</f>
        <v>901</v>
      </c>
      <c r="E31" s="13">
        <f t="shared" si="3"/>
        <v>3107</v>
      </c>
      <c r="F31" s="13">
        <f>802+712+577</f>
        <v>2091</v>
      </c>
      <c r="G31" s="13">
        <f>239+359+418</f>
        <v>1016</v>
      </c>
      <c r="H31" s="60">
        <f t="shared" si="2"/>
        <v>-177</v>
      </c>
    </row>
    <row r="32" spans="1:8" ht="12.75">
      <c r="A32" s="29" t="s">
        <v>17</v>
      </c>
      <c r="B32" s="61">
        <f t="shared" si="0"/>
        <v>3230</v>
      </c>
      <c r="C32" s="13">
        <f>779+822+655</f>
        <v>2256</v>
      </c>
      <c r="D32" s="13">
        <f>271+323+380</f>
        <v>974</v>
      </c>
      <c r="E32" s="13">
        <f t="shared" si="3"/>
        <v>3237</v>
      </c>
      <c r="F32" s="13">
        <f>610+749+771</f>
        <v>2130</v>
      </c>
      <c r="G32" s="13">
        <f>438+421+248</f>
        <v>1107</v>
      </c>
      <c r="H32" s="60">
        <f t="shared" si="2"/>
        <v>-7</v>
      </c>
    </row>
    <row r="33" spans="1:8" ht="12.75">
      <c r="A33" s="29" t="s">
        <v>18</v>
      </c>
      <c r="B33" s="61">
        <f t="shared" si="0"/>
        <v>5075</v>
      </c>
      <c r="C33" s="13">
        <f>866+854+738</f>
        <v>2458</v>
      </c>
      <c r="D33" s="13">
        <f>980+899+738</f>
        <v>2617</v>
      </c>
      <c r="E33" s="13">
        <f t="shared" si="3"/>
        <v>4462</v>
      </c>
      <c r="F33" s="13">
        <f>876+885+742</f>
        <v>2503</v>
      </c>
      <c r="G33" s="13">
        <f>586+655+718</f>
        <v>1959</v>
      </c>
      <c r="H33" s="60">
        <f t="shared" si="2"/>
        <v>613</v>
      </c>
    </row>
    <row r="34" spans="1:8" ht="12.75">
      <c r="A34" s="29" t="s">
        <v>19</v>
      </c>
      <c r="B34" s="61">
        <f t="shared" si="0"/>
        <v>2165</v>
      </c>
      <c r="C34" s="13">
        <f>654+619+452</f>
        <v>1725</v>
      </c>
      <c r="D34" s="13">
        <f>123+157+160</f>
        <v>440</v>
      </c>
      <c r="E34" s="13">
        <f t="shared" si="3"/>
        <v>2260</v>
      </c>
      <c r="F34" s="13">
        <f>480+636+676</f>
        <v>1792</v>
      </c>
      <c r="G34" s="13">
        <f>103+181+184</f>
        <v>468</v>
      </c>
      <c r="H34" s="60">
        <f t="shared" si="2"/>
        <v>-95</v>
      </c>
    </row>
    <row r="35" spans="1:8" ht="12.75">
      <c r="A35" s="29" t="s">
        <v>20</v>
      </c>
      <c r="B35" s="61">
        <f t="shared" si="0"/>
        <v>4526</v>
      </c>
      <c r="C35" s="13">
        <f>1050+1276+1272</f>
        <v>3598</v>
      </c>
      <c r="D35" s="13">
        <f>260+324+344</f>
        <v>928</v>
      </c>
      <c r="E35" s="13">
        <f t="shared" si="3"/>
        <v>4587</v>
      </c>
      <c r="F35" s="13">
        <f>1251+1190+1007</f>
        <v>3448</v>
      </c>
      <c r="G35" s="13">
        <f>462+405+272</f>
        <v>1139</v>
      </c>
      <c r="H35" s="60">
        <f t="shared" si="2"/>
        <v>-61</v>
      </c>
    </row>
    <row r="36" spans="1:8" ht="12.75">
      <c r="A36" s="29" t="s">
        <v>21</v>
      </c>
      <c r="B36" s="61">
        <f t="shared" si="0"/>
        <v>3353</v>
      </c>
      <c r="C36" s="13">
        <f>784+973+880</f>
        <v>2637</v>
      </c>
      <c r="D36" s="13">
        <f>258+258+200</f>
        <v>716</v>
      </c>
      <c r="E36" s="13">
        <f t="shared" si="3"/>
        <v>3511</v>
      </c>
      <c r="F36" s="13">
        <f>820+971+928</f>
        <v>2719</v>
      </c>
      <c r="G36" s="13">
        <f>217+244+331</f>
        <v>792</v>
      </c>
      <c r="H36" s="60">
        <f t="shared" si="2"/>
        <v>-158</v>
      </c>
    </row>
    <row r="37" spans="1:8" ht="12.75">
      <c r="A37" s="29" t="s">
        <v>22</v>
      </c>
      <c r="B37" s="61">
        <f t="shared" si="0"/>
        <v>4462</v>
      </c>
      <c r="C37" s="13">
        <f>804+895+709</f>
        <v>2408</v>
      </c>
      <c r="D37" s="13">
        <f>671+696+687</f>
        <v>2054</v>
      </c>
      <c r="E37" s="13">
        <f t="shared" si="3"/>
        <v>4026</v>
      </c>
      <c r="F37" s="13">
        <f>831+917+725</f>
        <v>2473</v>
      </c>
      <c r="G37" s="13">
        <f>585+506+462</f>
        <v>1553</v>
      </c>
      <c r="H37" s="60">
        <f t="shared" si="2"/>
        <v>436</v>
      </c>
    </row>
    <row r="38" spans="1:8" ht="12.75">
      <c r="A38" s="29" t="s">
        <v>23</v>
      </c>
      <c r="B38" s="61">
        <f t="shared" si="0"/>
        <v>2223</v>
      </c>
      <c r="C38" s="13">
        <f>495+560+571</f>
        <v>1626</v>
      </c>
      <c r="D38" s="13">
        <f>191+165+241</f>
        <v>597</v>
      </c>
      <c r="E38" s="13">
        <f t="shared" si="3"/>
        <v>2195</v>
      </c>
      <c r="F38" s="13">
        <f>456+561+605</f>
        <v>1622</v>
      </c>
      <c r="G38" s="13">
        <f>167+198+208</f>
        <v>573</v>
      </c>
      <c r="H38" s="60">
        <f t="shared" si="2"/>
        <v>28</v>
      </c>
    </row>
    <row r="39" spans="1:8" ht="12.75">
      <c r="A39" s="29" t="s">
        <v>24</v>
      </c>
      <c r="B39" s="61">
        <f t="shared" si="0"/>
        <v>3969</v>
      </c>
      <c r="C39" s="13">
        <f>545+579+585</f>
        <v>1709</v>
      </c>
      <c r="D39" s="13">
        <f>748+757+755</f>
        <v>2260</v>
      </c>
      <c r="E39" s="13">
        <f t="shared" si="3"/>
        <v>3445</v>
      </c>
      <c r="F39" s="13">
        <f>604+600+604</f>
        <v>1808</v>
      </c>
      <c r="G39" s="13">
        <f>602+548+487</f>
        <v>1637</v>
      </c>
      <c r="H39" s="60">
        <f t="shared" si="2"/>
        <v>524</v>
      </c>
    </row>
    <row r="40" spans="1:8" ht="12.75">
      <c r="A40" s="29"/>
      <c r="B40" s="61"/>
      <c r="C40" s="13"/>
      <c r="D40" s="13"/>
      <c r="E40" s="13"/>
      <c r="F40" s="13"/>
      <c r="G40" s="13"/>
      <c r="H40" s="60"/>
    </row>
    <row r="41" spans="1:8" ht="12.75">
      <c r="A41" s="29" t="s">
        <v>61</v>
      </c>
      <c r="B41" s="61">
        <f t="shared" si="0"/>
        <v>37696</v>
      </c>
      <c r="C41" s="13">
        <f>SUM(C29:C39)</f>
        <v>24029</v>
      </c>
      <c r="D41" s="13">
        <f>SUM(D29:D39)</f>
        <v>13667</v>
      </c>
      <c r="E41" s="13">
        <f>SUM(E29:E39)</f>
        <v>36318</v>
      </c>
      <c r="F41" s="13">
        <f>SUM(F29:F39)</f>
        <v>24162</v>
      </c>
      <c r="G41" s="13">
        <f>SUM(G29:G39)</f>
        <v>12156</v>
      </c>
      <c r="H41" s="60">
        <f t="shared" si="2"/>
        <v>1378</v>
      </c>
    </row>
    <row r="42" spans="1:8" ht="12.75">
      <c r="A42" s="29"/>
      <c r="B42" s="61"/>
      <c r="C42" s="13"/>
      <c r="D42" s="13"/>
      <c r="E42" s="13"/>
      <c r="F42" s="13"/>
      <c r="G42" s="13"/>
      <c r="H42" s="60"/>
    </row>
    <row r="43" spans="1:8" ht="12.75">
      <c r="A43" s="31" t="s">
        <v>25</v>
      </c>
      <c r="B43" s="59">
        <f aca="true" t="shared" si="4" ref="B43:G43">B27+B41</f>
        <v>47642</v>
      </c>
      <c r="C43" s="59">
        <f t="shared" si="4"/>
        <v>28500</v>
      </c>
      <c r="D43" s="59">
        <f t="shared" si="4"/>
        <v>19142</v>
      </c>
      <c r="E43" s="59">
        <f t="shared" si="4"/>
        <v>44850</v>
      </c>
      <c r="F43" s="59">
        <f t="shared" si="4"/>
        <v>28500</v>
      </c>
      <c r="G43" s="59">
        <f t="shared" si="4"/>
        <v>16350</v>
      </c>
      <c r="H43" s="33">
        <f t="shared" si="2"/>
        <v>2792</v>
      </c>
    </row>
    <row r="44" spans="1:8" ht="12.75">
      <c r="A44" s="34"/>
      <c r="B44" s="34"/>
      <c r="C44" s="34"/>
      <c r="D44" s="34"/>
      <c r="E44" s="34"/>
      <c r="F44" s="34"/>
      <c r="G44" s="34"/>
      <c r="H44" s="34"/>
    </row>
    <row r="45" spans="1:8" ht="12.75">
      <c r="A45" s="73" t="s">
        <v>64</v>
      </c>
      <c r="B45" s="73"/>
      <c r="C45" s="19"/>
      <c r="D45" s="19"/>
      <c r="E45" s="19"/>
      <c r="F45" s="19"/>
      <c r="G45" s="19"/>
      <c r="H45" s="19"/>
    </row>
    <row r="46" spans="1:8" ht="12.75">
      <c r="A46" s="73" t="s">
        <v>62</v>
      </c>
      <c r="B46" s="73"/>
      <c r="C46" s="19"/>
      <c r="D46" s="19"/>
      <c r="E46" s="19"/>
      <c r="F46" s="19"/>
      <c r="G46" s="19"/>
      <c r="H46" s="19"/>
    </row>
  </sheetData>
  <sheetProtection/>
  <mergeCells count="2">
    <mergeCell ref="A45:B45"/>
    <mergeCell ref="A46:B46"/>
  </mergeCells>
  <printOptions/>
  <pageMargins left="0.787401575" right="0.787401575" top="0.984251969" bottom="0.984251969" header="0.4921259845" footer="0.492125984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24.421875" style="3" customWidth="1"/>
    <col min="2" max="16384" width="11.421875" style="3" customWidth="1"/>
  </cols>
  <sheetData>
    <row r="1" spans="1:8" ht="12.75">
      <c r="A1" s="2" t="s">
        <v>113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10" ht="12.75">
      <c r="A3" s="38" t="s">
        <v>114</v>
      </c>
      <c r="B3" s="39"/>
      <c r="C3" s="39"/>
      <c r="D3" s="39"/>
      <c r="E3" s="39"/>
      <c r="F3" s="39"/>
      <c r="G3" s="39"/>
      <c r="H3" s="39"/>
      <c r="I3" s="45"/>
      <c r="J3" s="45"/>
    </row>
    <row r="4" spans="1:9" ht="12.75">
      <c r="A4" s="46" t="s">
        <v>26</v>
      </c>
      <c r="B4" s="39"/>
      <c r="C4" s="39"/>
      <c r="D4" s="39"/>
      <c r="E4" s="39"/>
      <c r="F4" s="39"/>
      <c r="G4" s="39"/>
      <c r="H4" s="39"/>
      <c r="I4" s="45"/>
    </row>
    <row r="5" spans="1:10" ht="12.75">
      <c r="A5" s="38" t="s">
        <v>34</v>
      </c>
      <c r="B5" s="39"/>
      <c r="C5" s="39"/>
      <c r="D5" s="39"/>
      <c r="E5" s="39"/>
      <c r="F5" s="39"/>
      <c r="G5" s="39"/>
      <c r="H5" s="39"/>
      <c r="I5" s="45"/>
      <c r="J5" s="45"/>
    </row>
    <row r="6" spans="1:8" ht="12.75">
      <c r="A6" s="40"/>
      <c r="B6" s="39"/>
      <c r="F6" s="39"/>
      <c r="G6" s="39"/>
      <c r="H6" s="39"/>
    </row>
    <row r="7" spans="1:10" ht="12.75">
      <c r="A7" s="41" t="s">
        <v>27</v>
      </c>
      <c r="B7" s="42" t="s">
        <v>6</v>
      </c>
      <c r="C7" s="42"/>
      <c r="D7" s="42"/>
      <c r="E7" s="42" t="s">
        <v>7</v>
      </c>
      <c r="F7" s="42"/>
      <c r="G7" s="42"/>
      <c r="H7" s="47" t="s">
        <v>73</v>
      </c>
      <c r="I7" s="48"/>
      <c r="J7" s="48"/>
    </row>
    <row r="8" spans="1:10" ht="12.75">
      <c r="A8" s="43" t="s">
        <v>28</v>
      </c>
      <c r="B8" s="44" t="s">
        <v>2</v>
      </c>
      <c r="C8" s="44" t="s">
        <v>29</v>
      </c>
      <c r="D8" s="44" t="s">
        <v>4</v>
      </c>
      <c r="E8" s="44" t="s">
        <v>2</v>
      </c>
      <c r="F8" s="44" t="s">
        <v>29</v>
      </c>
      <c r="G8" s="44" t="s">
        <v>4</v>
      </c>
      <c r="H8" s="44" t="s">
        <v>2</v>
      </c>
      <c r="I8" s="44" t="s">
        <v>29</v>
      </c>
      <c r="J8" s="44" t="s">
        <v>4</v>
      </c>
    </row>
    <row r="9" spans="1:10" ht="12.75">
      <c r="A9" s="69"/>
      <c r="B9" s="70"/>
      <c r="C9" s="70"/>
      <c r="D9" s="71"/>
      <c r="E9" s="70"/>
      <c r="F9" s="70"/>
      <c r="G9" s="71"/>
      <c r="H9" s="70"/>
      <c r="I9" s="70"/>
      <c r="J9" s="70"/>
    </row>
    <row r="10" spans="1:10" ht="12.75">
      <c r="A10" s="29" t="s">
        <v>30</v>
      </c>
      <c r="B10" s="13">
        <f>191+266+353</f>
        <v>810</v>
      </c>
      <c r="C10" s="13">
        <f>170+141+104</f>
        <v>415</v>
      </c>
      <c r="D10" s="49">
        <f>B10-C10</f>
        <v>395</v>
      </c>
      <c r="E10" s="13">
        <f>300+160+146</f>
        <v>606</v>
      </c>
      <c r="F10" s="13">
        <f>146+76+75</f>
        <v>297</v>
      </c>
      <c r="G10" s="49">
        <f>E10-F10</f>
        <v>309</v>
      </c>
      <c r="H10" s="13">
        <f>B10-E10</f>
        <v>204</v>
      </c>
      <c r="I10" s="13">
        <f>C10-F10</f>
        <v>118</v>
      </c>
      <c r="J10" s="13">
        <f>D10-G10</f>
        <v>86</v>
      </c>
    </row>
    <row r="11" spans="1:10" ht="12.75">
      <c r="A11" s="29" t="s">
        <v>31</v>
      </c>
      <c r="B11" s="13">
        <f>224+287+335</f>
        <v>846</v>
      </c>
      <c r="C11" s="13">
        <f>155+153+123</f>
        <v>431</v>
      </c>
      <c r="D11" s="49">
        <f aca="true" t="shared" si="0" ref="D11:D38">B11-C11</f>
        <v>415</v>
      </c>
      <c r="E11" s="13">
        <f>346+215+203</f>
        <v>764</v>
      </c>
      <c r="F11" s="13">
        <f>156+112+105</f>
        <v>373</v>
      </c>
      <c r="G11" s="49">
        <f aca="true" t="shared" si="1" ref="G11:G38">E11-F11</f>
        <v>391</v>
      </c>
      <c r="H11" s="13">
        <f aca="true" t="shared" si="2" ref="H11:H38">B11-E11</f>
        <v>82</v>
      </c>
      <c r="I11" s="13">
        <f aca="true" t="shared" si="3" ref="I11:I38">C11-F11</f>
        <v>58</v>
      </c>
      <c r="J11" s="13">
        <f aca="true" t="shared" si="4" ref="J11:J38">D11-G11</f>
        <v>24</v>
      </c>
    </row>
    <row r="12" spans="1:10" ht="12.75">
      <c r="A12" s="29" t="s">
        <v>32</v>
      </c>
      <c r="B12" s="13">
        <f>191+259+300</f>
        <v>750</v>
      </c>
      <c r="C12" s="13">
        <f>150+125+98</f>
        <v>373</v>
      </c>
      <c r="D12" s="49">
        <f t="shared" si="0"/>
        <v>377</v>
      </c>
      <c r="E12" s="13">
        <f>395+320+273</f>
        <v>988</v>
      </c>
      <c r="F12" s="13">
        <f>130+152+189</f>
        <v>471</v>
      </c>
      <c r="G12" s="49">
        <f t="shared" si="1"/>
        <v>517</v>
      </c>
      <c r="H12" s="13">
        <f t="shared" si="2"/>
        <v>-238</v>
      </c>
      <c r="I12" s="13">
        <f t="shared" si="3"/>
        <v>-98</v>
      </c>
      <c r="J12" s="13">
        <f t="shared" si="4"/>
        <v>-140</v>
      </c>
    </row>
    <row r="13" spans="1:10" ht="12.75">
      <c r="A13" s="29" t="s">
        <v>106</v>
      </c>
      <c r="B13" s="13">
        <f>118+106+66</f>
        <v>290</v>
      </c>
      <c r="C13" s="13">
        <f>53+49+33</f>
        <v>135</v>
      </c>
      <c r="D13" s="49">
        <f t="shared" si="0"/>
        <v>155</v>
      </c>
      <c r="E13" s="13">
        <f>65+55+59</f>
        <v>179</v>
      </c>
      <c r="F13" s="13">
        <f>30+30+34</f>
        <v>94</v>
      </c>
      <c r="G13" s="49">
        <f t="shared" si="1"/>
        <v>85</v>
      </c>
      <c r="H13" s="13">
        <f t="shared" si="2"/>
        <v>111</v>
      </c>
      <c r="I13" s="13">
        <f t="shared" si="3"/>
        <v>41</v>
      </c>
      <c r="J13" s="13">
        <f t="shared" si="4"/>
        <v>70</v>
      </c>
    </row>
    <row r="14" spans="1:10" ht="12.75">
      <c r="A14" s="29" t="s">
        <v>33</v>
      </c>
      <c r="B14" s="13">
        <f>135+122+116</f>
        <v>373</v>
      </c>
      <c r="C14" s="13">
        <f>66+53+55</f>
        <v>174</v>
      </c>
      <c r="D14" s="49">
        <f t="shared" si="0"/>
        <v>199</v>
      </c>
      <c r="E14" s="13">
        <f>125+87+71</f>
        <v>283</v>
      </c>
      <c r="F14" s="13">
        <f>58+47+35</f>
        <v>140</v>
      </c>
      <c r="G14" s="49">
        <f t="shared" si="1"/>
        <v>143</v>
      </c>
      <c r="H14" s="13">
        <f t="shared" si="2"/>
        <v>90</v>
      </c>
      <c r="I14" s="13">
        <f t="shared" si="3"/>
        <v>34</v>
      </c>
      <c r="J14" s="13">
        <f t="shared" si="4"/>
        <v>56</v>
      </c>
    </row>
    <row r="15" spans="1:10" ht="12.75">
      <c r="A15" s="29" t="s">
        <v>35</v>
      </c>
      <c r="B15" s="13">
        <f>186+228+264</f>
        <v>678</v>
      </c>
      <c r="C15" s="13">
        <f>125+126+96</f>
        <v>347</v>
      </c>
      <c r="D15" s="49">
        <f t="shared" si="0"/>
        <v>331</v>
      </c>
      <c r="E15" s="13">
        <f>201+166+133</f>
        <v>500</v>
      </c>
      <c r="F15" s="13">
        <f>98+86+73</f>
        <v>257</v>
      </c>
      <c r="G15" s="49">
        <f t="shared" si="1"/>
        <v>243</v>
      </c>
      <c r="H15" s="13">
        <f t="shared" si="2"/>
        <v>178</v>
      </c>
      <c r="I15" s="13">
        <f t="shared" si="3"/>
        <v>90</v>
      </c>
      <c r="J15" s="13">
        <f t="shared" si="4"/>
        <v>88</v>
      </c>
    </row>
    <row r="16" spans="1:10" ht="12.75">
      <c r="A16" s="29" t="s">
        <v>36</v>
      </c>
      <c r="B16" s="13">
        <f>328+370+323</f>
        <v>1021</v>
      </c>
      <c r="C16" s="13">
        <f>172+208+170</f>
        <v>550</v>
      </c>
      <c r="D16" s="49">
        <f t="shared" si="0"/>
        <v>471</v>
      </c>
      <c r="E16" s="13">
        <f>236+152+153</f>
        <v>541</v>
      </c>
      <c r="F16" s="13">
        <f>80+120+74</f>
        <v>274</v>
      </c>
      <c r="G16" s="49">
        <f t="shared" si="1"/>
        <v>267</v>
      </c>
      <c r="H16" s="13">
        <f t="shared" si="2"/>
        <v>480</v>
      </c>
      <c r="I16" s="13">
        <f t="shared" si="3"/>
        <v>276</v>
      </c>
      <c r="J16" s="13">
        <f t="shared" si="4"/>
        <v>204</v>
      </c>
    </row>
    <row r="17" spans="1:10" ht="12.75">
      <c r="A17" s="29" t="s">
        <v>37</v>
      </c>
      <c r="B17" s="13">
        <f>1198+1100+790</f>
        <v>3088</v>
      </c>
      <c r="C17" s="13">
        <f>568+534+412</f>
        <v>1514</v>
      </c>
      <c r="D17" s="49">
        <f t="shared" si="0"/>
        <v>1574</v>
      </c>
      <c r="E17" s="13">
        <f>1170+961+896</f>
        <v>3027</v>
      </c>
      <c r="F17" s="13">
        <f>452+579+474</f>
        <v>1505</v>
      </c>
      <c r="G17" s="49">
        <f t="shared" si="1"/>
        <v>1522</v>
      </c>
      <c r="H17" s="13">
        <f t="shared" si="2"/>
        <v>61</v>
      </c>
      <c r="I17" s="13">
        <f t="shared" si="3"/>
        <v>9</v>
      </c>
      <c r="J17" s="13">
        <f t="shared" si="4"/>
        <v>52</v>
      </c>
    </row>
    <row r="18" spans="1:10" ht="12.75">
      <c r="A18" s="29" t="s">
        <v>38</v>
      </c>
      <c r="B18" s="13">
        <f>728+611+454</f>
        <v>1793</v>
      </c>
      <c r="C18" s="13">
        <f>340+296+219</f>
        <v>855</v>
      </c>
      <c r="D18" s="49">
        <f t="shared" si="0"/>
        <v>938</v>
      </c>
      <c r="E18" s="13">
        <f>315+462+331</f>
        <v>1108</v>
      </c>
      <c r="F18" s="13">
        <f>153+218+174</f>
        <v>545</v>
      </c>
      <c r="G18" s="49">
        <f t="shared" si="1"/>
        <v>563</v>
      </c>
      <c r="H18" s="13">
        <f t="shared" si="2"/>
        <v>685</v>
      </c>
      <c r="I18" s="13">
        <f t="shared" si="3"/>
        <v>310</v>
      </c>
      <c r="J18" s="13">
        <f t="shared" si="4"/>
        <v>375</v>
      </c>
    </row>
    <row r="19" spans="1:10" ht="12.75">
      <c r="A19" s="29" t="s">
        <v>39</v>
      </c>
      <c r="B19" s="13">
        <f>108+56+49</f>
        <v>213</v>
      </c>
      <c r="C19" s="13">
        <f>47+27+26</f>
        <v>100</v>
      </c>
      <c r="D19" s="49">
        <f t="shared" si="0"/>
        <v>113</v>
      </c>
      <c r="E19" s="13">
        <f>34+60+57</f>
        <v>151</v>
      </c>
      <c r="F19" s="13">
        <f>19+27+34</f>
        <v>80</v>
      </c>
      <c r="G19" s="49">
        <f t="shared" si="1"/>
        <v>71</v>
      </c>
      <c r="H19" s="13">
        <f t="shared" si="2"/>
        <v>62</v>
      </c>
      <c r="I19" s="13">
        <f t="shared" si="3"/>
        <v>20</v>
      </c>
      <c r="J19" s="13">
        <f t="shared" si="4"/>
        <v>42</v>
      </c>
    </row>
    <row r="20" spans="1:10" ht="12.75">
      <c r="A20" s="29" t="s">
        <v>40</v>
      </c>
      <c r="B20" s="13">
        <f>19+19+9</f>
        <v>47</v>
      </c>
      <c r="C20" s="13">
        <f>7+9+2</f>
        <v>18</v>
      </c>
      <c r="D20" s="49">
        <f t="shared" si="0"/>
        <v>29</v>
      </c>
      <c r="E20" s="13">
        <f>11+18+9</f>
        <v>38</v>
      </c>
      <c r="F20" s="13">
        <f>8+11+3</f>
        <v>22</v>
      </c>
      <c r="G20" s="49">
        <f t="shared" si="1"/>
        <v>16</v>
      </c>
      <c r="H20" s="13">
        <f t="shared" si="2"/>
        <v>9</v>
      </c>
      <c r="I20" s="13">
        <f t="shared" si="3"/>
        <v>-4</v>
      </c>
      <c r="J20" s="13">
        <f t="shared" si="4"/>
        <v>13</v>
      </c>
    </row>
    <row r="21" spans="1:10" ht="12.75">
      <c r="A21" s="50" t="s">
        <v>41</v>
      </c>
      <c r="B21" s="13">
        <f>86+120+118</f>
        <v>324</v>
      </c>
      <c r="C21" s="13">
        <f>61+61+61</f>
        <v>183</v>
      </c>
      <c r="D21" s="49">
        <f t="shared" si="0"/>
        <v>141</v>
      </c>
      <c r="E21" s="13">
        <f>54+85+54</f>
        <v>193</v>
      </c>
      <c r="F21" s="13">
        <f>25+43+25</f>
        <v>93</v>
      </c>
      <c r="G21" s="49">
        <f t="shared" si="1"/>
        <v>100</v>
      </c>
      <c r="H21" s="13">
        <f t="shared" si="2"/>
        <v>131</v>
      </c>
      <c r="I21" s="13">
        <f t="shared" si="3"/>
        <v>90</v>
      </c>
      <c r="J21" s="13">
        <f t="shared" si="4"/>
        <v>41</v>
      </c>
    </row>
    <row r="22" spans="1:10" ht="12.75">
      <c r="A22" s="29" t="s">
        <v>42</v>
      </c>
      <c r="B22" s="13">
        <f>65+110+88</f>
        <v>263</v>
      </c>
      <c r="C22" s="13">
        <f>32+51+41</f>
        <v>124</v>
      </c>
      <c r="D22" s="49">
        <f t="shared" si="0"/>
        <v>139</v>
      </c>
      <c r="E22" s="13">
        <f>36+63+40</f>
        <v>139</v>
      </c>
      <c r="F22" s="13">
        <f>21+32+25</f>
        <v>78</v>
      </c>
      <c r="G22" s="49">
        <f t="shared" si="1"/>
        <v>61</v>
      </c>
      <c r="H22" s="13">
        <f t="shared" si="2"/>
        <v>124</v>
      </c>
      <c r="I22" s="13">
        <f t="shared" si="3"/>
        <v>46</v>
      </c>
      <c r="J22" s="13">
        <f t="shared" si="4"/>
        <v>78</v>
      </c>
    </row>
    <row r="23" spans="1:10" ht="12.75">
      <c r="A23" s="29" t="s">
        <v>25</v>
      </c>
      <c r="B23" s="13">
        <f>1267+1406+1455</f>
        <v>4128</v>
      </c>
      <c r="C23" s="13">
        <f>598+703+705</f>
        <v>2006</v>
      </c>
      <c r="D23" s="49">
        <f t="shared" si="0"/>
        <v>2122</v>
      </c>
      <c r="E23" s="13">
        <f>1861+1988+2048</f>
        <v>5897</v>
      </c>
      <c r="F23" s="13">
        <f>899+932+989</f>
        <v>2820</v>
      </c>
      <c r="G23" s="49">
        <f t="shared" si="1"/>
        <v>3077</v>
      </c>
      <c r="H23" s="60">
        <f t="shared" si="2"/>
        <v>-1769</v>
      </c>
      <c r="I23" s="13">
        <f t="shared" si="3"/>
        <v>-814</v>
      </c>
      <c r="J23" s="13">
        <f t="shared" si="4"/>
        <v>-955</v>
      </c>
    </row>
    <row r="24" spans="1:10" ht="12.75">
      <c r="A24" s="29" t="s">
        <v>43</v>
      </c>
      <c r="B24" s="13">
        <f>47+50+59</f>
        <v>156</v>
      </c>
      <c r="C24" s="13">
        <f>26+20+34</f>
        <v>80</v>
      </c>
      <c r="D24" s="49">
        <f t="shared" si="0"/>
        <v>76</v>
      </c>
      <c r="E24" s="13">
        <f>22+54+20</f>
        <v>96</v>
      </c>
      <c r="F24" s="13">
        <f>11+25+10</f>
        <v>46</v>
      </c>
      <c r="G24" s="49">
        <f t="shared" si="1"/>
        <v>50</v>
      </c>
      <c r="H24" s="13">
        <f t="shared" si="2"/>
        <v>60</v>
      </c>
      <c r="I24" s="13">
        <f t="shared" si="3"/>
        <v>34</v>
      </c>
      <c r="J24" s="13">
        <f t="shared" si="4"/>
        <v>26</v>
      </c>
    </row>
    <row r="25" spans="1:10" ht="12.75">
      <c r="A25" s="29"/>
      <c r="B25" s="13"/>
      <c r="C25" s="13"/>
      <c r="D25" s="49"/>
      <c r="E25" s="13"/>
      <c r="F25" s="13"/>
      <c r="G25" s="49"/>
      <c r="H25" s="13"/>
      <c r="I25" s="13"/>
      <c r="J25" s="13"/>
    </row>
    <row r="26" spans="1:10" ht="12.75">
      <c r="A26" s="29" t="s">
        <v>99</v>
      </c>
      <c r="B26" s="13">
        <f>SUM(B10:B24)</f>
        <v>14780</v>
      </c>
      <c r="C26" s="13">
        <f>SUM(C10:C24)</f>
        <v>7305</v>
      </c>
      <c r="D26" s="49">
        <f t="shared" si="0"/>
        <v>7475</v>
      </c>
      <c r="E26" s="13">
        <f>SUM(E10:E24)</f>
        <v>14510</v>
      </c>
      <c r="F26" s="13">
        <f>SUM(F10:F24)</f>
        <v>7095</v>
      </c>
      <c r="G26" s="49">
        <f t="shared" si="1"/>
        <v>7415</v>
      </c>
      <c r="H26" s="13">
        <f t="shared" si="2"/>
        <v>270</v>
      </c>
      <c r="I26" s="13">
        <f t="shared" si="3"/>
        <v>210</v>
      </c>
      <c r="J26" s="13">
        <f t="shared" si="4"/>
        <v>60</v>
      </c>
    </row>
    <row r="27" spans="1:10" ht="12.75">
      <c r="A27" s="29"/>
      <c r="B27" s="13"/>
      <c r="C27" s="13"/>
      <c r="D27" s="49"/>
      <c r="E27" s="13"/>
      <c r="F27" s="13"/>
      <c r="G27" s="49"/>
      <c r="H27" s="13"/>
      <c r="I27" s="13"/>
      <c r="J27" s="13"/>
    </row>
    <row r="28" spans="1:10" ht="12.75">
      <c r="A28" s="29" t="s">
        <v>68</v>
      </c>
      <c r="B28" s="13">
        <f>1587+2089+2414</f>
        <v>6090</v>
      </c>
      <c r="C28" s="13">
        <f>989+1277+1425</f>
        <v>3691</v>
      </c>
      <c r="D28" s="49">
        <f t="shared" si="0"/>
        <v>2399</v>
      </c>
      <c r="E28" s="13">
        <f>1273+1501+1434</f>
        <v>4208</v>
      </c>
      <c r="F28" s="13">
        <f>881+963+900</f>
        <v>2744</v>
      </c>
      <c r="G28" s="49">
        <f t="shared" si="1"/>
        <v>1464</v>
      </c>
      <c r="H28" s="13">
        <f t="shared" si="2"/>
        <v>1882</v>
      </c>
      <c r="I28" s="13">
        <f t="shared" si="3"/>
        <v>947</v>
      </c>
      <c r="J28" s="13">
        <f t="shared" si="4"/>
        <v>935</v>
      </c>
    </row>
    <row r="29" spans="1:10" ht="12.75">
      <c r="A29" s="29"/>
      <c r="B29" s="13"/>
      <c r="C29" s="13"/>
      <c r="D29" s="49"/>
      <c r="E29" s="13"/>
      <c r="F29" s="13"/>
      <c r="G29" s="49"/>
      <c r="H29" s="13"/>
      <c r="I29" s="13"/>
      <c r="J29" s="13"/>
    </row>
    <row r="30" spans="1:10" ht="12.75">
      <c r="A30" s="51" t="s">
        <v>69</v>
      </c>
      <c r="B30" s="32">
        <f aca="true" t="shared" si="5" ref="B30:G30">B26+B28</f>
        <v>20870</v>
      </c>
      <c r="C30" s="32">
        <f t="shared" si="5"/>
        <v>10996</v>
      </c>
      <c r="D30" s="52">
        <f t="shared" si="5"/>
        <v>9874</v>
      </c>
      <c r="E30" s="32">
        <f t="shared" si="5"/>
        <v>18718</v>
      </c>
      <c r="F30" s="32">
        <f t="shared" si="5"/>
        <v>9839</v>
      </c>
      <c r="G30" s="52">
        <f t="shared" si="5"/>
        <v>8879</v>
      </c>
      <c r="H30" s="59">
        <f t="shared" si="2"/>
        <v>2152</v>
      </c>
      <c r="I30" s="59">
        <f t="shared" si="3"/>
        <v>1157</v>
      </c>
      <c r="J30" s="59">
        <f t="shared" si="4"/>
        <v>995</v>
      </c>
    </row>
    <row r="31" spans="1:10" ht="12.75">
      <c r="A31" s="51"/>
      <c r="B31" s="32"/>
      <c r="C31" s="32"/>
      <c r="D31" s="52"/>
      <c r="E31" s="32"/>
      <c r="F31" s="32"/>
      <c r="G31" s="52"/>
      <c r="H31" s="59"/>
      <c r="I31" s="59"/>
      <c r="J31" s="59"/>
    </row>
    <row r="32" spans="1:10" ht="12.75">
      <c r="A32" s="53" t="s">
        <v>70</v>
      </c>
      <c r="B32" s="18"/>
      <c r="C32" s="18"/>
      <c r="D32" s="49">
        <f t="shared" si="0"/>
        <v>0</v>
      </c>
      <c r="E32" s="18"/>
      <c r="F32" s="18"/>
      <c r="G32" s="49">
        <f t="shared" si="1"/>
        <v>0</v>
      </c>
      <c r="H32" s="13">
        <f t="shared" si="2"/>
        <v>0</v>
      </c>
      <c r="I32" s="13">
        <f t="shared" si="3"/>
        <v>0</v>
      </c>
      <c r="J32" s="13">
        <f t="shared" si="4"/>
        <v>0</v>
      </c>
    </row>
    <row r="33" spans="1:10" ht="12.75">
      <c r="A33" s="53" t="s">
        <v>71</v>
      </c>
      <c r="B33" s="18">
        <f>132+155+137</f>
        <v>424</v>
      </c>
      <c r="C33" s="18">
        <f>64+73+66</f>
        <v>203</v>
      </c>
      <c r="D33" s="49">
        <f t="shared" si="0"/>
        <v>221</v>
      </c>
      <c r="E33" s="18">
        <f>289+281+224</f>
        <v>794</v>
      </c>
      <c r="F33" s="18">
        <f>136+134+112</f>
        <v>382</v>
      </c>
      <c r="G33" s="49">
        <f t="shared" si="1"/>
        <v>412</v>
      </c>
      <c r="H33" s="13">
        <f t="shared" si="2"/>
        <v>-370</v>
      </c>
      <c r="I33" s="13">
        <f t="shared" si="3"/>
        <v>-179</v>
      </c>
      <c r="J33" s="13">
        <f t="shared" si="4"/>
        <v>-191</v>
      </c>
    </row>
    <row r="34" spans="1:10" ht="12.75">
      <c r="A34" s="53" t="s">
        <v>18</v>
      </c>
      <c r="B34" s="18">
        <f>274+280+274</f>
        <v>828</v>
      </c>
      <c r="C34" s="18">
        <f>151+144+126</f>
        <v>421</v>
      </c>
      <c r="D34" s="49">
        <f t="shared" si="0"/>
        <v>407</v>
      </c>
      <c r="E34" s="18">
        <f>410+500+481</f>
        <v>1391</v>
      </c>
      <c r="F34" s="18">
        <f>232+252+215</f>
        <v>699</v>
      </c>
      <c r="G34" s="49">
        <f t="shared" si="1"/>
        <v>692</v>
      </c>
      <c r="H34" s="13">
        <f t="shared" si="2"/>
        <v>-563</v>
      </c>
      <c r="I34" s="13">
        <f t="shared" si="3"/>
        <v>-278</v>
      </c>
      <c r="J34" s="13">
        <f t="shared" si="4"/>
        <v>-285</v>
      </c>
    </row>
    <row r="35" spans="1:10" ht="12.75">
      <c r="A35" s="53" t="s">
        <v>22</v>
      </c>
      <c r="B35" s="18">
        <f>186+219+195</f>
        <v>600</v>
      </c>
      <c r="C35" s="18">
        <f>81+102+92</f>
        <v>275</v>
      </c>
      <c r="D35" s="49">
        <f t="shared" si="0"/>
        <v>325</v>
      </c>
      <c r="E35" s="18">
        <f>286+362+319</f>
        <v>967</v>
      </c>
      <c r="F35" s="18">
        <f>150+172+120</f>
        <v>442</v>
      </c>
      <c r="G35" s="49">
        <f t="shared" si="1"/>
        <v>525</v>
      </c>
      <c r="H35" s="13">
        <f t="shared" si="2"/>
        <v>-367</v>
      </c>
      <c r="I35" s="13">
        <f t="shared" si="3"/>
        <v>-167</v>
      </c>
      <c r="J35" s="13">
        <f t="shared" si="4"/>
        <v>-200</v>
      </c>
    </row>
    <row r="36" spans="1:10" ht="12.75">
      <c r="A36" s="53" t="s">
        <v>24</v>
      </c>
      <c r="B36" s="18">
        <f>235+265+248</f>
        <v>748</v>
      </c>
      <c r="C36" s="18">
        <f>116+135+128</f>
        <v>379</v>
      </c>
      <c r="D36" s="49">
        <f t="shared" si="0"/>
        <v>369</v>
      </c>
      <c r="E36" s="18">
        <f>484+473+441</f>
        <v>1398</v>
      </c>
      <c r="F36" s="18">
        <f>231+215+196</f>
        <v>642</v>
      </c>
      <c r="G36" s="49">
        <f t="shared" si="1"/>
        <v>756</v>
      </c>
      <c r="H36" s="13">
        <f t="shared" si="2"/>
        <v>-650</v>
      </c>
      <c r="I36" s="13">
        <f t="shared" si="3"/>
        <v>-263</v>
      </c>
      <c r="J36" s="13">
        <f t="shared" si="4"/>
        <v>-387</v>
      </c>
    </row>
    <row r="37" spans="1:10" ht="12.75">
      <c r="A37" s="53" t="s">
        <v>72</v>
      </c>
      <c r="B37" s="18">
        <f>194+237+208</f>
        <v>639</v>
      </c>
      <c r="C37" s="18">
        <f>105+107+98</f>
        <v>310</v>
      </c>
      <c r="D37" s="49">
        <f t="shared" si="0"/>
        <v>329</v>
      </c>
      <c r="E37" s="18">
        <f>360+361+391</f>
        <v>1112</v>
      </c>
      <c r="F37" s="18">
        <f>192+180+177</f>
        <v>549</v>
      </c>
      <c r="G37" s="49">
        <f t="shared" si="1"/>
        <v>563</v>
      </c>
      <c r="H37" s="13">
        <f t="shared" si="2"/>
        <v>-473</v>
      </c>
      <c r="I37" s="13">
        <f t="shared" si="3"/>
        <v>-239</v>
      </c>
      <c r="J37" s="13">
        <f t="shared" si="4"/>
        <v>-234</v>
      </c>
    </row>
    <row r="38" spans="1:10" ht="12.75">
      <c r="A38" s="53" t="s">
        <v>45</v>
      </c>
      <c r="B38" s="18">
        <f>100+120+88</f>
        <v>308</v>
      </c>
      <c r="C38" s="18">
        <f>53+59+48</f>
        <v>160</v>
      </c>
      <c r="D38" s="49">
        <f t="shared" si="0"/>
        <v>148</v>
      </c>
      <c r="E38" s="18">
        <f>118+100+127</f>
        <v>345</v>
      </c>
      <c r="F38" s="18">
        <f>68+52+63</f>
        <v>183</v>
      </c>
      <c r="G38" s="49">
        <f t="shared" si="1"/>
        <v>162</v>
      </c>
      <c r="H38" s="13">
        <f t="shared" si="2"/>
        <v>-37</v>
      </c>
      <c r="I38" s="13">
        <f t="shared" si="3"/>
        <v>-23</v>
      </c>
      <c r="J38" s="13">
        <f t="shared" si="4"/>
        <v>-14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8515625" style="3" customWidth="1"/>
    <col min="2" max="2" width="10.421875" style="3" customWidth="1"/>
    <col min="3" max="3" width="9.8515625" style="3" customWidth="1"/>
    <col min="4" max="4" width="8.8515625" style="3" customWidth="1"/>
    <col min="5" max="6" width="9.421875" style="3" customWidth="1"/>
    <col min="7" max="7" width="7.57421875" style="3" customWidth="1"/>
    <col min="8" max="8" width="9.8515625" style="3" customWidth="1"/>
    <col min="9" max="9" width="9.00390625" style="3" customWidth="1"/>
    <col min="10" max="16384" width="11.421875" style="3" customWidth="1"/>
  </cols>
  <sheetData>
    <row r="1" spans="1:8" ht="12.75">
      <c r="A1" s="2" t="s">
        <v>109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10" ht="12.75">
      <c r="A3" s="54" t="s">
        <v>115</v>
      </c>
      <c r="B3" s="39"/>
      <c r="C3" s="39"/>
      <c r="D3" s="39"/>
      <c r="E3" s="39"/>
      <c r="F3" s="39"/>
      <c r="G3" s="39"/>
      <c r="H3" s="39"/>
      <c r="I3" s="45"/>
      <c r="J3" s="45"/>
    </row>
    <row r="4" spans="1:10" ht="12.75">
      <c r="A4" s="46" t="s">
        <v>26</v>
      </c>
      <c r="B4" s="39"/>
      <c r="C4" s="39"/>
      <c r="D4" s="39"/>
      <c r="E4" s="39"/>
      <c r="F4" s="39"/>
      <c r="G4" s="39"/>
      <c r="H4" s="39"/>
      <c r="I4" s="45"/>
      <c r="J4" s="45"/>
    </row>
    <row r="5" spans="1:10" ht="12.75">
      <c r="A5" s="38" t="s">
        <v>25</v>
      </c>
      <c r="B5" s="39"/>
      <c r="C5" s="39"/>
      <c r="D5" s="39"/>
      <c r="E5" s="39"/>
      <c r="F5" s="39"/>
      <c r="G5" s="39"/>
      <c r="H5" s="39"/>
      <c r="I5" s="45"/>
      <c r="J5" s="45"/>
    </row>
    <row r="6" spans="1:8" ht="12.75">
      <c r="A6" s="40"/>
      <c r="B6" s="39"/>
      <c r="F6" s="39"/>
      <c r="G6" s="39"/>
      <c r="H6" s="39"/>
    </row>
    <row r="7" spans="1:10" ht="25.5">
      <c r="A7" s="41" t="s">
        <v>27</v>
      </c>
      <c r="B7" s="42" t="s">
        <v>6</v>
      </c>
      <c r="C7" s="42"/>
      <c r="D7" s="42"/>
      <c r="E7" s="42" t="s">
        <v>7</v>
      </c>
      <c r="F7" s="42"/>
      <c r="G7" s="42"/>
      <c r="H7" s="47" t="s">
        <v>73</v>
      </c>
      <c r="I7" s="48"/>
      <c r="J7" s="48"/>
    </row>
    <row r="8" spans="1:10" ht="12.75">
      <c r="A8" s="43" t="s">
        <v>28</v>
      </c>
      <c r="B8" s="44" t="s">
        <v>2</v>
      </c>
      <c r="C8" s="44" t="s">
        <v>29</v>
      </c>
      <c r="D8" s="44" t="s">
        <v>4</v>
      </c>
      <c r="E8" s="44" t="s">
        <v>2</v>
      </c>
      <c r="F8" s="44" t="s">
        <v>29</v>
      </c>
      <c r="G8" s="44" t="s">
        <v>4</v>
      </c>
      <c r="H8" s="44" t="s">
        <v>2</v>
      </c>
      <c r="I8" s="44" t="s">
        <v>29</v>
      </c>
      <c r="J8" s="44" t="s">
        <v>4</v>
      </c>
    </row>
    <row r="9" spans="1:10" ht="12.75">
      <c r="A9" s="69"/>
      <c r="B9" s="70"/>
      <c r="C9" s="70"/>
      <c r="D9" s="71"/>
      <c r="E9" s="70"/>
      <c r="F9" s="70"/>
      <c r="G9" s="71"/>
      <c r="H9" s="70"/>
      <c r="I9" s="70"/>
      <c r="J9" s="70"/>
    </row>
    <row r="10" spans="1:10" ht="12.75">
      <c r="A10" s="29" t="s">
        <v>30</v>
      </c>
      <c r="B10" s="13">
        <f>209+191+267</f>
        <v>667</v>
      </c>
      <c r="C10" s="13">
        <f>103+90+138</f>
        <v>331</v>
      </c>
      <c r="D10" s="49">
        <f>B10-C10</f>
        <v>336</v>
      </c>
      <c r="E10" s="13">
        <f>137+214+358</f>
        <v>709</v>
      </c>
      <c r="F10" s="13">
        <f>75+102+164</f>
        <v>341</v>
      </c>
      <c r="G10" s="49">
        <f>E10-F10</f>
        <v>368</v>
      </c>
      <c r="H10" s="30">
        <f>B10-E10</f>
        <v>-42</v>
      </c>
      <c r="I10" s="30">
        <f>C10-F10</f>
        <v>-10</v>
      </c>
      <c r="J10" s="30">
        <f>D10-G10</f>
        <v>-32</v>
      </c>
    </row>
    <row r="11" spans="1:10" ht="12.75">
      <c r="A11" s="29" t="s">
        <v>31</v>
      </c>
      <c r="B11" s="13">
        <f>190+228+252</f>
        <v>670</v>
      </c>
      <c r="C11" s="13">
        <f>127+116+94</f>
        <v>337</v>
      </c>
      <c r="D11" s="49">
        <f aca="true" t="shared" si="0" ref="D11:D28">B11-C11</f>
        <v>333</v>
      </c>
      <c r="E11" s="13">
        <f>359+253+197</f>
        <v>809</v>
      </c>
      <c r="F11" s="13">
        <f>104+141+184</f>
        <v>429</v>
      </c>
      <c r="G11" s="49">
        <f aca="true" t="shared" si="1" ref="G11:G28">E11-F11</f>
        <v>380</v>
      </c>
      <c r="H11" s="30">
        <f aca="true" t="shared" si="2" ref="H11:H24">B11-E11</f>
        <v>-139</v>
      </c>
      <c r="I11" s="30">
        <f aca="true" t="shared" si="3" ref="I11:I26">C11-F11</f>
        <v>-92</v>
      </c>
      <c r="J11" s="30">
        <f aca="true" t="shared" si="4" ref="J11:J26">D11-G11</f>
        <v>-47</v>
      </c>
    </row>
    <row r="12" spans="1:10" ht="12.75">
      <c r="A12" s="29" t="s">
        <v>32</v>
      </c>
      <c r="B12" s="13">
        <f>152+237+245</f>
        <v>634</v>
      </c>
      <c r="C12" s="13">
        <f>73+121+112</f>
        <v>306</v>
      </c>
      <c r="D12" s="49">
        <f t="shared" si="0"/>
        <v>328</v>
      </c>
      <c r="E12" s="13">
        <f>310+262+189</f>
        <v>761</v>
      </c>
      <c r="F12" s="13">
        <f>99+131+150</f>
        <v>380</v>
      </c>
      <c r="G12" s="49">
        <f t="shared" si="1"/>
        <v>381</v>
      </c>
      <c r="H12" s="30">
        <f t="shared" si="2"/>
        <v>-127</v>
      </c>
      <c r="I12" s="30">
        <f t="shared" si="3"/>
        <v>-74</v>
      </c>
      <c r="J12" s="30">
        <f t="shared" si="4"/>
        <v>-53</v>
      </c>
    </row>
    <row r="13" spans="1:10" ht="12.75">
      <c r="A13" s="29" t="s">
        <v>106</v>
      </c>
      <c r="B13" s="13">
        <f>74+118+161</f>
        <v>353</v>
      </c>
      <c r="C13" s="13">
        <f>66+52+33</f>
        <v>151</v>
      </c>
      <c r="D13" s="49">
        <f t="shared" si="0"/>
        <v>202</v>
      </c>
      <c r="E13" s="13">
        <f>84+106+128</f>
        <v>318</v>
      </c>
      <c r="F13" s="13">
        <f>38+51+61</f>
        <v>150</v>
      </c>
      <c r="G13" s="49">
        <f t="shared" si="1"/>
        <v>168</v>
      </c>
      <c r="H13" s="30">
        <f t="shared" si="2"/>
        <v>35</v>
      </c>
      <c r="I13" s="30">
        <f t="shared" si="3"/>
        <v>1</v>
      </c>
      <c r="J13" s="30">
        <f t="shared" si="4"/>
        <v>34</v>
      </c>
    </row>
    <row r="14" spans="1:10" ht="12.75">
      <c r="A14" s="29" t="s">
        <v>33</v>
      </c>
      <c r="B14" s="13">
        <f>101+80+50</f>
        <v>231</v>
      </c>
      <c r="C14" s="13">
        <f>21+37+40</f>
        <v>98</v>
      </c>
      <c r="D14" s="49">
        <f t="shared" si="0"/>
        <v>133</v>
      </c>
      <c r="E14" s="13">
        <f>54+125+151</f>
        <v>330</v>
      </c>
      <c r="F14" s="13">
        <f>21+63+76</f>
        <v>160</v>
      </c>
      <c r="G14" s="49">
        <f t="shared" si="1"/>
        <v>170</v>
      </c>
      <c r="H14" s="30">
        <f t="shared" si="2"/>
        <v>-99</v>
      </c>
      <c r="I14" s="30">
        <f t="shared" si="3"/>
        <v>-62</v>
      </c>
      <c r="J14" s="30">
        <f t="shared" si="4"/>
        <v>-37</v>
      </c>
    </row>
    <row r="15" spans="1:10" ht="12.75">
      <c r="A15" s="29" t="s">
        <v>34</v>
      </c>
      <c r="B15" s="13">
        <f>1861+2048+1988</f>
        <v>5897</v>
      </c>
      <c r="C15" s="13">
        <f>899+989+932</f>
        <v>2820</v>
      </c>
      <c r="D15" s="49">
        <f t="shared" si="0"/>
        <v>3077</v>
      </c>
      <c r="E15" s="13">
        <f>1267+1455+1406</f>
        <v>4128</v>
      </c>
      <c r="F15" s="13">
        <f>703+705+598</f>
        <v>2006</v>
      </c>
      <c r="G15" s="49">
        <f t="shared" si="1"/>
        <v>2122</v>
      </c>
      <c r="H15" s="30">
        <f t="shared" si="2"/>
        <v>1769</v>
      </c>
      <c r="I15" s="30">
        <f t="shared" si="3"/>
        <v>814</v>
      </c>
      <c r="J15" s="30">
        <f t="shared" si="4"/>
        <v>955</v>
      </c>
    </row>
    <row r="16" spans="1:10" ht="12.75">
      <c r="A16" s="29" t="s">
        <v>35</v>
      </c>
      <c r="B16" s="13">
        <f>166+178+256</f>
        <v>600</v>
      </c>
      <c r="C16" s="13">
        <f>77+81+115</f>
        <v>273</v>
      </c>
      <c r="D16" s="49">
        <f t="shared" si="0"/>
        <v>327</v>
      </c>
      <c r="E16" s="13">
        <f>134+185+339</f>
        <v>658</v>
      </c>
      <c r="F16" s="13">
        <f>61+92+169</f>
        <v>322</v>
      </c>
      <c r="G16" s="49">
        <f t="shared" si="1"/>
        <v>336</v>
      </c>
      <c r="H16" s="30">
        <f t="shared" si="2"/>
        <v>-58</v>
      </c>
      <c r="I16" s="30">
        <f t="shared" si="3"/>
        <v>-49</v>
      </c>
      <c r="J16" s="30">
        <f t="shared" si="4"/>
        <v>-9</v>
      </c>
    </row>
    <row r="17" spans="1:10" ht="13.5" customHeight="1">
      <c r="A17" s="29" t="s">
        <v>36</v>
      </c>
      <c r="B17" s="13">
        <f>325+418+504</f>
        <v>1247</v>
      </c>
      <c r="C17" s="13">
        <f>163+219+256</f>
        <v>638</v>
      </c>
      <c r="D17" s="49">
        <f t="shared" si="0"/>
        <v>609</v>
      </c>
      <c r="E17" s="13">
        <f>247+342+453</f>
        <v>1042</v>
      </c>
      <c r="F17" s="13">
        <f>142+153+212</f>
        <v>507</v>
      </c>
      <c r="G17" s="49">
        <f t="shared" si="1"/>
        <v>535</v>
      </c>
      <c r="H17" s="30">
        <f t="shared" si="2"/>
        <v>205</v>
      </c>
      <c r="I17" s="30">
        <f t="shared" si="3"/>
        <v>131</v>
      </c>
      <c r="J17" s="30">
        <f t="shared" si="4"/>
        <v>74</v>
      </c>
    </row>
    <row r="18" spans="1:10" ht="12.75">
      <c r="A18" s="29" t="s">
        <v>37</v>
      </c>
      <c r="B18" s="13">
        <f>582+745+1102</f>
        <v>2429</v>
      </c>
      <c r="C18" s="13">
        <f>495+348+276</f>
        <v>1119</v>
      </c>
      <c r="D18" s="49">
        <f t="shared" si="0"/>
        <v>1310</v>
      </c>
      <c r="E18" s="13">
        <f>567+738+888</f>
        <v>2193</v>
      </c>
      <c r="F18" s="13">
        <f>295+367+421</f>
        <v>1083</v>
      </c>
      <c r="G18" s="49">
        <f t="shared" si="1"/>
        <v>1110</v>
      </c>
      <c r="H18" s="30">
        <f t="shared" si="2"/>
        <v>236</v>
      </c>
      <c r="I18" s="30">
        <f t="shared" si="3"/>
        <v>36</v>
      </c>
      <c r="J18" s="30">
        <f t="shared" si="4"/>
        <v>200</v>
      </c>
    </row>
    <row r="19" spans="1:10" ht="12.75">
      <c r="A19" s="29" t="s">
        <v>38</v>
      </c>
      <c r="B19" s="13">
        <f>478+586+726</f>
        <v>1790</v>
      </c>
      <c r="C19" s="13">
        <f>239+272+323</f>
        <v>834</v>
      </c>
      <c r="D19" s="49">
        <f t="shared" si="0"/>
        <v>956</v>
      </c>
      <c r="E19" s="13">
        <f>352+482+631</f>
        <v>1465</v>
      </c>
      <c r="F19" s="13">
        <f>174+233+292</f>
        <v>699</v>
      </c>
      <c r="G19" s="49">
        <f t="shared" si="1"/>
        <v>766</v>
      </c>
      <c r="H19" s="30">
        <f t="shared" si="2"/>
        <v>325</v>
      </c>
      <c r="I19" s="30">
        <f t="shared" si="3"/>
        <v>135</v>
      </c>
      <c r="J19" s="30">
        <f t="shared" si="4"/>
        <v>190</v>
      </c>
    </row>
    <row r="20" spans="1:10" ht="12.75">
      <c r="A20" s="29" t="s">
        <v>39</v>
      </c>
      <c r="B20" s="13">
        <f>72+77+90</f>
        <v>239</v>
      </c>
      <c r="C20" s="13">
        <f>50+36+42</f>
        <v>128</v>
      </c>
      <c r="D20" s="49">
        <f t="shared" si="0"/>
        <v>111</v>
      </c>
      <c r="E20" s="13">
        <f>49+77+118</f>
        <v>244</v>
      </c>
      <c r="F20" s="13">
        <f>46+35+24</f>
        <v>105</v>
      </c>
      <c r="G20" s="49">
        <f t="shared" si="1"/>
        <v>139</v>
      </c>
      <c r="H20" s="30">
        <f t="shared" si="2"/>
        <v>-5</v>
      </c>
      <c r="I20" s="30">
        <f t="shared" si="3"/>
        <v>23</v>
      </c>
      <c r="J20" s="30">
        <f t="shared" si="4"/>
        <v>-28</v>
      </c>
    </row>
    <row r="21" spans="1:10" ht="12.75">
      <c r="A21" s="29" t="s">
        <v>40</v>
      </c>
      <c r="B21" s="13">
        <f>9+18+27</f>
        <v>54</v>
      </c>
      <c r="C21" s="13">
        <f>5+9+16</f>
        <v>30</v>
      </c>
      <c r="D21" s="49">
        <f t="shared" si="0"/>
        <v>24</v>
      </c>
      <c r="E21" s="13">
        <f>8+16+25</f>
        <v>49</v>
      </c>
      <c r="F21" s="13">
        <f>14+10+4</f>
        <v>28</v>
      </c>
      <c r="G21" s="49">
        <f t="shared" si="1"/>
        <v>21</v>
      </c>
      <c r="H21" s="30">
        <f t="shared" si="2"/>
        <v>5</v>
      </c>
      <c r="I21" s="30">
        <f t="shared" si="3"/>
        <v>2</v>
      </c>
      <c r="J21" s="30">
        <f t="shared" si="4"/>
        <v>3</v>
      </c>
    </row>
    <row r="22" spans="1:10" ht="12.75">
      <c r="A22" s="29" t="s">
        <v>41</v>
      </c>
      <c r="B22" s="13">
        <f>121+80+58</f>
        <v>259</v>
      </c>
      <c r="C22" s="13">
        <f>26+35+59</f>
        <v>120</v>
      </c>
      <c r="D22" s="49">
        <f t="shared" si="0"/>
        <v>139</v>
      </c>
      <c r="E22" s="13">
        <f>61+70+114</f>
        <v>245</v>
      </c>
      <c r="F22" s="13">
        <f>47+32+30</f>
        <v>109</v>
      </c>
      <c r="G22" s="49">
        <f t="shared" si="1"/>
        <v>136</v>
      </c>
      <c r="H22" s="30">
        <f t="shared" si="2"/>
        <v>14</v>
      </c>
      <c r="I22" s="30">
        <f t="shared" si="3"/>
        <v>11</v>
      </c>
      <c r="J22" s="30">
        <f t="shared" si="4"/>
        <v>3</v>
      </c>
    </row>
    <row r="23" spans="1:10" ht="12.75">
      <c r="A23" s="29" t="s">
        <v>42</v>
      </c>
      <c r="B23" s="13">
        <f>56+60+109</f>
        <v>225</v>
      </c>
      <c r="C23" s="13">
        <f>29+32+53</f>
        <v>114</v>
      </c>
      <c r="D23" s="49">
        <f t="shared" si="0"/>
        <v>111</v>
      </c>
      <c r="E23" s="13">
        <f>110+54+36</f>
        <v>200</v>
      </c>
      <c r="F23" s="13">
        <f>16+33+46</f>
        <v>95</v>
      </c>
      <c r="G23" s="49">
        <f t="shared" si="1"/>
        <v>105</v>
      </c>
      <c r="H23" s="30">
        <f t="shared" si="2"/>
        <v>25</v>
      </c>
      <c r="I23" s="30">
        <f t="shared" si="3"/>
        <v>19</v>
      </c>
      <c r="J23" s="30">
        <f t="shared" si="4"/>
        <v>6</v>
      </c>
    </row>
    <row r="24" spans="1:10" ht="12.75">
      <c r="A24" s="29" t="s">
        <v>43</v>
      </c>
      <c r="B24" s="13">
        <f>46+49+62</f>
        <v>157</v>
      </c>
      <c r="C24" s="13">
        <f>28+30+29</f>
        <v>87</v>
      </c>
      <c r="D24" s="49">
        <f t="shared" si="0"/>
        <v>70</v>
      </c>
      <c r="E24" s="13">
        <f>38+40+76</f>
        <v>154</v>
      </c>
      <c r="F24" s="13">
        <f>41+29+23</f>
        <v>93</v>
      </c>
      <c r="G24" s="49">
        <f t="shared" si="1"/>
        <v>61</v>
      </c>
      <c r="H24" s="30">
        <f t="shared" si="2"/>
        <v>3</v>
      </c>
      <c r="I24" s="30">
        <f t="shared" si="3"/>
        <v>-6</v>
      </c>
      <c r="J24" s="30">
        <f t="shared" si="4"/>
        <v>9</v>
      </c>
    </row>
    <row r="25" spans="1:10" ht="12.75">
      <c r="A25" s="29"/>
      <c r="B25" s="13"/>
      <c r="C25" s="13"/>
      <c r="D25" s="49"/>
      <c r="E25" s="13"/>
      <c r="F25" s="13"/>
      <c r="G25" s="49"/>
      <c r="H25" s="30"/>
      <c r="I25" s="30"/>
      <c r="J25" s="30"/>
    </row>
    <row r="26" spans="1:10" ht="12.75">
      <c r="A26" s="29" t="s">
        <v>99</v>
      </c>
      <c r="B26" s="62">
        <f aca="true" t="shared" si="5" ref="B26:G26">SUM(B10:B24)</f>
        <v>15452</v>
      </c>
      <c r="C26" s="62">
        <f t="shared" si="5"/>
        <v>7386</v>
      </c>
      <c r="D26" s="49">
        <f t="shared" si="5"/>
        <v>8066</v>
      </c>
      <c r="E26" s="62">
        <f t="shared" si="5"/>
        <v>13305</v>
      </c>
      <c r="F26" s="62">
        <f t="shared" si="5"/>
        <v>6507</v>
      </c>
      <c r="G26" s="49">
        <f t="shared" si="5"/>
        <v>6798</v>
      </c>
      <c r="H26" s="30">
        <f>B26-E26</f>
        <v>2147</v>
      </c>
      <c r="I26" s="30">
        <f t="shared" si="3"/>
        <v>879</v>
      </c>
      <c r="J26" s="30">
        <f t="shared" si="4"/>
        <v>1268</v>
      </c>
    </row>
    <row r="27" spans="1:10" ht="12.75">
      <c r="A27" s="29"/>
      <c r="B27" s="62"/>
      <c r="C27" s="62"/>
      <c r="D27" s="49"/>
      <c r="E27" s="62"/>
      <c r="F27" s="62"/>
      <c r="G27" s="49"/>
      <c r="H27" s="30"/>
      <c r="I27" s="30"/>
      <c r="J27" s="30"/>
    </row>
    <row r="28" spans="1:10" ht="12.75">
      <c r="A28" s="29" t="s">
        <v>68</v>
      </c>
      <c r="B28" s="13">
        <f>938+1238+1514</f>
        <v>3690</v>
      </c>
      <c r="C28" s="13">
        <f>548+736+908</f>
        <v>2192</v>
      </c>
      <c r="D28" s="49">
        <f t="shared" si="0"/>
        <v>1498</v>
      </c>
      <c r="E28" s="13">
        <f>956+1136+953</f>
        <v>3045</v>
      </c>
      <c r="F28" s="13">
        <f>605+701+554</f>
        <v>1860</v>
      </c>
      <c r="G28" s="49">
        <f t="shared" si="1"/>
        <v>1185</v>
      </c>
      <c r="H28" s="30">
        <f>B28-E28</f>
        <v>645</v>
      </c>
      <c r="I28" s="30">
        <f>C28-F28</f>
        <v>332</v>
      </c>
      <c r="J28" s="30">
        <f>D28-G28</f>
        <v>313</v>
      </c>
    </row>
    <row r="29" spans="1:10" ht="12.75">
      <c r="A29" s="29"/>
      <c r="B29" s="13"/>
      <c r="C29" s="13"/>
      <c r="D29" s="49"/>
      <c r="E29" s="13"/>
      <c r="F29" s="13"/>
      <c r="G29" s="49"/>
      <c r="H29" s="30"/>
      <c r="I29" s="30"/>
      <c r="J29" s="30"/>
    </row>
    <row r="30" spans="1:10" ht="12.75">
      <c r="A30" s="55" t="s">
        <v>69</v>
      </c>
      <c r="B30" s="32">
        <f aca="true" t="shared" si="6" ref="B30:G30">SUM(B26:B28)</f>
        <v>19142</v>
      </c>
      <c r="C30" s="32">
        <f t="shared" si="6"/>
        <v>9578</v>
      </c>
      <c r="D30" s="52">
        <f t="shared" si="6"/>
        <v>9564</v>
      </c>
      <c r="E30" s="32">
        <f t="shared" si="6"/>
        <v>16350</v>
      </c>
      <c r="F30" s="32">
        <f t="shared" si="6"/>
        <v>8367</v>
      </c>
      <c r="G30" s="52">
        <f t="shared" si="6"/>
        <v>7983</v>
      </c>
      <c r="H30" s="33">
        <f>B30-E30</f>
        <v>2792</v>
      </c>
      <c r="I30" s="33">
        <f>C30-F30</f>
        <v>1211</v>
      </c>
      <c r="J30" s="33">
        <f>D30-G30</f>
        <v>1581</v>
      </c>
    </row>
    <row r="31" spans="8:10" ht="12.75">
      <c r="H31" s="30"/>
      <c r="I31" s="30"/>
      <c r="J31" s="30"/>
    </row>
    <row r="32" spans="8:10" ht="12.75">
      <c r="H32" s="30"/>
      <c r="I32" s="30"/>
      <c r="J32" s="30"/>
    </row>
    <row r="33" ht="12.75">
      <c r="F33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BruhnCh</dc:creator>
  <cp:keywords/>
  <dc:description/>
  <cp:lastModifiedBy>Jähne, Regina</cp:lastModifiedBy>
  <cp:lastPrinted>2012-04-11T09:50:21Z</cp:lastPrinted>
  <dcterms:created xsi:type="dcterms:W3CDTF">2010-09-22T05:26:38Z</dcterms:created>
  <dcterms:modified xsi:type="dcterms:W3CDTF">2012-04-25T08:21:35Z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