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80" windowHeight="6030" activeTab="0"/>
  </bookViews>
  <sheets>
    <sheet name="A_III_1_vj" sheetId="1" r:id="rId1"/>
    <sheet name="Tabelle 1" sheetId="2" r:id="rId2"/>
    <sheet name="Tabelle 2" sheetId="3" r:id="rId3"/>
    <sheet name="Tabelle 3" sheetId="4" r:id="rId4"/>
    <sheet name="noch Tabelle 3" sheetId="5" r:id="rId5"/>
  </sheets>
  <externalReferences>
    <externalReference r:id="rId8"/>
  </externalReferences>
  <definedNames>
    <definedName name="QJ">'[1]AIII1Q Tab1 Übersicht'!$E$5</definedName>
  </definedNames>
  <calcPr fullCalcOnLoad="1"/>
</workbook>
</file>

<file path=xl/sharedStrings.xml><?xml version="1.0" encoding="utf-8"?>
<sst xmlns="http://schemas.openxmlformats.org/spreadsheetml/2006/main" count="186" uniqueCount="115">
  <si>
    <t>1. Übersicht</t>
  </si>
  <si>
    <t xml:space="preserve"> </t>
  </si>
  <si>
    <t>insgesamt</t>
  </si>
  <si>
    <t xml:space="preserve">männlich </t>
  </si>
  <si>
    <t>weiblich</t>
  </si>
  <si>
    <t>über die Landesgrenze</t>
  </si>
  <si>
    <t>Zuzüge</t>
  </si>
  <si>
    <t>Fortzüge</t>
  </si>
  <si>
    <t>Kreis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</si>
  <si>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</si>
  <si>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</si>
  <si>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</si>
  <si>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</si>
  <si>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</si>
  <si>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</si>
  <si>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</si>
  <si>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</si>
  <si>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</si>
  <si>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</si>
  <si>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</si>
  <si>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</si>
  <si>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</si>
  <si>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</si>
  <si>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</si>
  <si>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</si>
  <si>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</si>
  <si>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nach Herkunfts- und Zielgebiet</t>
  </si>
  <si>
    <t>Herkunfts-</t>
  </si>
  <si>
    <t xml:space="preserve"> bzw. Zielgebiet</t>
  </si>
  <si>
    <t>männlich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</si>
  <si>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</si>
  <si>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</si>
  <si>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</si>
  <si>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</si>
  <si>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</si>
  <si>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</si>
  <si>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</si>
  <si>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</si>
  <si>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</si>
  <si>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</si>
  <si>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</si>
  <si>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</si>
  <si>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</si>
  <si>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</si>
  <si>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</si>
  <si>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Harburg</t>
  </si>
  <si>
    <t>Stade</t>
  </si>
  <si>
    <t>Merkmal</t>
  </si>
  <si>
    <t xml:space="preserve">Zuzüge </t>
  </si>
  <si>
    <t xml:space="preserve">Fortzüge </t>
  </si>
  <si>
    <t>Saldo</t>
  </si>
  <si>
    <t>Umzüge zwischen Ortsteilen innerhalb Hamburgs</t>
  </si>
  <si>
    <t>Umzüge zwischen Gemeinden innerhalb Schleswig-Holsteins</t>
  </si>
  <si>
    <t>Hinweis:</t>
  </si>
  <si>
    <t xml:space="preserve">Bundeszahlen veröffentlicht das Statistische Bundesamt in seiner Fachserie 1 "Bevölkerung und Erwerbstätigkeit", Reihe 1 "Gebiet und Bevölkerung". </t>
  </si>
  <si>
    <t xml:space="preserve">Rechtsgrundlage: </t>
  </si>
  <si>
    <t>Hamburg-Mitte</t>
  </si>
  <si>
    <t>Altona</t>
  </si>
  <si>
    <t>Eimsbüttel</t>
  </si>
  <si>
    <t>Hamburg-Nord</t>
  </si>
  <si>
    <t>Wandsbek</t>
  </si>
  <si>
    <t>Bergedorf</t>
  </si>
  <si>
    <t>Kreisfreie Städte zusammen</t>
  </si>
  <si>
    <t>Kreise zusammen</t>
  </si>
  <si>
    <t xml:space="preserve">   Schleswig-Holstein: über die Gemeindegrenzen.</t>
  </si>
  <si>
    <t>Bezirk
Kreisfreie Stadt</t>
  </si>
  <si>
    <r>
      <t xml:space="preserve">1  </t>
    </r>
    <r>
      <rPr>
        <sz val="7"/>
        <rFont val="Arial"/>
        <family val="2"/>
      </rPr>
      <t>Hamburg: über die Ortsteilsgrenzen.</t>
    </r>
  </si>
  <si>
    <t>Anstalt des öffentlichen Rechts</t>
  </si>
  <si>
    <t>D-20457 Hamburg, Steckelhörn 12</t>
  </si>
  <si>
    <t>D-24113 Kiel, Fröbelstraße 15-17</t>
  </si>
  <si>
    <t>Ausland</t>
  </si>
  <si>
    <t>Insgesamt</t>
  </si>
  <si>
    <t>nachrichtlich: Umland</t>
  </si>
  <si>
    <t>Hzgt. Lauenburg</t>
  </si>
  <si>
    <t>Landkreis Harburg</t>
  </si>
  <si>
    <t>Wanderungsgewinn oder -verlust (-)</t>
  </si>
  <si>
    <t>Statistisches Amt für Hamburg und Schleswig-Holstein</t>
  </si>
  <si>
    <t>www.statistik-nord.de</t>
  </si>
  <si>
    <t>Standort Hamburg:</t>
  </si>
  <si>
    <t>Standort Kiel: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</si>
  <si>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</si>
  <si>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</si>
  <si>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</si>
  <si>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</si>
  <si>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</si>
  <si>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</si>
  <si>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</si>
  <si>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</si>
  <si>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</si>
  <si>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</si>
  <si>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</si>
  <si>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</si>
  <si>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</si>
  <si>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</si>
  <si>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</si>
  <si>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</si>
  <si>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</si>
  <si>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</si>
  <si>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</si>
  <si>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Isolde Schlüter</t>
  </si>
  <si>
    <t>040 42831-1754</t>
  </si>
  <si>
    <t>Deutschland</t>
  </si>
  <si>
    <t>Isolde.Schlueter@statistik-nord.de</t>
  </si>
  <si>
    <t>Gesetz über die Statistik der Bevölkerungsbewegung und die Fortschreibung des Bevölkerungsstandes in der Fassung der Bekanntmachung vom 14. März 1980 (BGBl. I S.308), das zuletzt durch Artikel 1 des Gesetzes vom vom 18. Juli 2008 (BGBl. I S. 1290) geändert wurde.</t>
  </si>
  <si>
    <r>
      <t>innerhalb des Landes</t>
    </r>
    <r>
      <rPr>
        <vertAlign val="superscript"/>
        <sz val="10"/>
        <rFont val="Arial"/>
        <family val="2"/>
      </rPr>
      <t xml:space="preserve"> 1</t>
    </r>
  </si>
  <si>
    <r>
      <t xml:space="preserve">innerhalb des Landes </t>
    </r>
    <r>
      <rPr>
        <vertAlign val="superscript"/>
        <sz val="10"/>
        <rFont val="Arial"/>
        <family val="2"/>
      </rPr>
      <t>1</t>
    </r>
  </si>
  <si>
    <t>Wanderungs-gewinn
oder -verlust (-)</t>
  </si>
  <si>
    <t>A III 1-vj 4/11</t>
  </si>
  <si>
    <t>4. Vierteljahr 2010</t>
  </si>
  <si>
    <t>4. Vierteljahr 2011</t>
  </si>
  <si>
    <t>AIII 1 - vj 4/11 / Die Wanderungen in Hamburg und Schleswig-Holstein im 4. Vierteljahr 2011</t>
  </si>
  <si>
    <t>2. Zu- und Fortzüge im 4. Vierteljahr 2011</t>
  </si>
  <si>
    <t>3. Zu- und Fortzüge über die Landesgrenze im 4. Vierteljahr 2011</t>
  </si>
  <si>
    <r>
      <t>Noch:</t>
    </r>
    <r>
      <rPr>
        <b/>
        <sz val="10"/>
        <rFont val="Arial"/>
        <family val="2"/>
      </rPr>
      <t xml:space="preserve"> 3. Zu- und Fortzüge über die Landesgrenze im 4. Vierteljahr 2011</t>
    </r>
  </si>
  <si>
    <t>Die Wanderungen im 4. Vierteljahr 2011 in Hamburg und Schleswig-Holstein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</si>
</sst>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#\ ###\ ###\ "/>
    <numFmt numFmtId="166" formatCode="####\ ###\ ###\ "/>
    <numFmt numFmtId="167" formatCode="\ #,##0"/>
    <numFmt numFmtId="168" formatCode="d/\ mmmm\ yyyy"/>
  </numFmts>
  <fonts count="47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Continuous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Continuous"/>
      <protection hidden="1"/>
    </xf>
    <xf numFmtId="0" fontId="0" fillId="0" borderId="12" xfId="0" applyFill="1" applyBorder="1" applyAlignment="1" applyProtection="1">
      <alignment horizontal="centerContinuous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Continuous"/>
      <protection hidden="1"/>
    </xf>
    <xf numFmtId="165" fontId="4" fillId="0" borderId="0" xfId="0" applyNumberFormat="1" applyFont="1" applyFill="1" applyAlignment="1">
      <alignment wrapText="1"/>
    </xf>
    <xf numFmtId="166" fontId="0" fillId="0" borderId="0" xfId="0" applyNumberForma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Continuous" wrapText="1"/>
    </xf>
    <xf numFmtId="0" fontId="0" fillId="0" borderId="0" xfId="0" applyFill="1" applyAlignment="1" applyProtection="1">
      <alignment horizontal="centerContinuous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0" fontId="0" fillId="0" borderId="11" xfId="0" applyFill="1" applyBorder="1" applyAlignment="1" applyProtection="1">
      <alignment horizontal="centerContinuous" vertical="center" wrapText="1"/>
      <protection hidden="1"/>
    </xf>
    <xf numFmtId="0" fontId="0" fillId="0" borderId="13" xfId="0" applyFill="1" applyBorder="1" applyAlignment="1" applyProtection="1">
      <alignment horizontal="center" vertical="top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4" fontId="5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6" fillId="0" borderId="14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65" fontId="7" fillId="0" borderId="0" xfId="0" applyNumberFormat="1" applyFont="1" applyFill="1" applyAlignment="1">
      <alignment wrapText="1"/>
    </xf>
    <xf numFmtId="167" fontId="7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 applyProtection="1">
      <alignment horizontal="centerContinuous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 vertical="top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 applyProtection="1">
      <alignment horizontal="centerContinuous"/>
      <protection/>
    </xf>
    <xf numFmtId="0" fontId="0" fillId="0" borderId="12" xfId="0" applyFill="1" applyBorder="1" applyAlignment="1" applyProtection="1">
      <alignment horizontal="centerContinuous" wrapText="1"/>
      <protection/>
    </xf>
    <xf numFmtId="0" fontId="0" fillId="0" borderId="15" xfId="0" applyFill="1" applyBorder="1" applyAlignment="1">
      <alignment horizontal="centerContinuous"/>
    </xf>
    <xf numFmtId="165" fontId="4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65" fontId="7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3" fontId="3" fillId="0" borderId="0" xfId="0" applyNumberFormat="1" applyFont="1" applyFill="1" applyBorder="1" applyAlignment="1" applyProtection="1">
      <alignment horizontal="centerContinuous"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Continuous" wrapText="1"/>
      <protection hidden="1"/>
    </xf>
    <xf numFmtId="165" fontId="7" fillId="0" borderId="0" xfId="0" applyNumberFormat="1" applyFont="1" applyFill="1" applyAlignment="1">
      <alignment wrapText="1"/>
    </xf>
    <xf numFmtId="167" fontId="4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wrapText="1"/>
    </xf>
    <xf numFmtId="0" fontId="0" fillId="0" borderId="14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top" wrapText="1"/>
      <protection hidden="1"/>
    </xf>
    <xf numFmtId="0" fontId="0" fillId="0" borderId="14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165" fontId="0" fillId="0" borderId="0" xfId="0" applyNumberFormat="1" applyFill="1" applyAlignment="1">
      <alignment/>
    </xf>
    <xf numFmtId="0" fontId="8" fillId="0" borderId="0" xfId="0" applyFont="1" applyFill="1" applyAlignment="1">
      <alignment horizontal="left" wrapText="1"/>
    </xf>
    <xf numFmtId="0" fontId="3" fillId="33" borderId="16" xfId="53" applyFont="1" applyFill="1" applyBorder="1" applyAlignment="1" applyProtection="1">
      <alignment/>
      <protection hidden="1"/>
    </xf>
    <xf numFmtId="0" fontId="3" fillId="33" borderId="17" xfId="53" applyFont="1" applyFill="1" applyBorder="1" applyAlignment="1" applyProtection="1">
      <alignment/>
      <protection hidden="1"/>
    </xf>
    <xf numFmtId="0" fontId="0" fillId="33" borderId="17" xfId="53" applyFont="1" applyFill="1" applyBorder="1" applyAlignment="1" applyProtection="1">
      <alignment/>
      <protection hidden="1"/>
    </xf>
    <xf numFmtId="0" fontId="0" fillId="33" borderId="10" xfId="53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0" fillId="33" borderId="18" xfId="53" applyFont="1" applyFill="1" applyBorder="1" applyAlignment="1" applyProtection="1">
      <alignment/>
      <protection hidden="1"/>
    </xf>
    <xf numFmtId="0" fontId="0" fillId="33" borderId="0" xfId="53" applyFont="1" applyFill="1" applyBorder="1" applyAlignment="1" applyProtection="1">
      <alignment vertical="top"/>
      <protection hidden="1"/>
    </xf>
    <xf numFmtId="0" fontId="0" fillId="33" borderId="0" xfId="53" applyFont="1" applyFill="1" applyBorder="1" applyAlignment="1" applyProtection="1">
      <alignment/>
      <protection hidden="1"/>
    </xf>
    <xf numFmtId="0" fontId="0" fillId="33" borderId="14" xfId="53" applyFont="1" applyFill="1" applyBorder="1" applyAlignment="1" applyProtection="1">
      <alignment/>
      <protection hidden="1"/>
    </xf>
    <xf numFmtId="0" fontId="9" fillId="33" borderId="19" xfId="47" applyFont="1" applyFill="1" applyBorder="1" applyAlignment="1" applyProtection="1">
      <alignment horizontal="left"/>
      <protection hidden="1"/>
    </xf>
    <xf numFmtId="0" fontId="9" fillId="33" borderId="20" xfId="47" applyFont="1" applyFill="1" applyBorder="1" applyAlignment="1" applyProtection="1">
      <alignment horizontal="left"/>
      <protection hidden="1"/>
    </xf>
    <xf numFmtId="0" fontId="0" fillId="33" borderId="20" xfId="53" applyFont="1" applyFill="1" applyBorder="1" applyAlignment="1" applyProtection="1">
      <alignment/>
      <protection hidden="1"/>
    </xf>
    <xf numFmtId="0" fontId="0" fillId="33" borderId="13" xfId="53" applyFont="1" applyFill="1" applyBorder="1" applyAlignment="1" applyProtection="1">
      <alignment/>
      <protection hidden="1"/>
    </xf>
    <xf numFmtId="0" fontId="0" fillId="33" borderId="16" xfId="53" applyFont="1" applyFill="1" applyBorder="1" applyProtection="1">
      <alignment/>
      <protection hidden="1"/>
    </xf>
    <xf numFmtId="0" fontId="0" fillId="33" borderId="17" xfId="53" applyFont="1" applyFill="1" applyBorder="1" applyProtection="1">
      <alignment/>
      <protection hidden="1"/>
    </xf>
    <xf numFmtId="0" fontId="0" fillId="33" borderId="10" xfId="53" applyFont="1" applyFill="1" applyBorder="1" applyProtection="1">
      <alignment/>
      <protection hidden="1"/>
    </xf>
    <xf numFmtId="0" fontId="0" fillId="33" borderId="18" xfId="53" applyFont="1" applyFill="1" applyBorder="1" applyProtection="1">
      <alignment/>
      <protection hidden="1"/>
    </xf>
    <xf numFmtId="0" fontId="0" fillId="33" borderId="0" xfId="53" applyFont="1" applyFill="1" applyBorder="1" applyProtection="1">
      <alignment/>
      <protection hidden="1"/>
    </xf>
    <xf numFmtId="0" fontId="0" fillId="33" borderId="14" xfId="53" applyFont="1" applyFill="1" applyBorder="1" applyProtection="1">
      <alignment/>
      <protection hidden="1"/>
    </xf>
    <xf numFmtId="49" fontId="0" fillId="33" borderId="0" xfId="53" applyNumberFormat="1" applyFont="1" applyFill="1" applyBorder="1" applyProtection="1">
      <alignment/>
      <protection hidden="1"/>
    </xf>
    <xf numFmtId="0" fontId="0" fillId="33" borderId="0" xfId="53" applyFont="1" applyFill="1" applyBorder="1" applyProtection="1" quotePrefix="1">
      <alignment/>
      <protection hidden="1"/>
    </xf>
    <xf numFmtId="0" fontId="0" fillId="33" borderId="19" xfId="53" applyFont="1" applyFill="1" applyBorder="1" applyProtection="1">
      <alignment/>
      <protection hidden="1"/>
    </xf>
    <xf numFmtId="0" fontId="11" fillId="33" borderId="20" xfId="46" applyFont="1" applyFill="1" applyBorder="1" applyAlignment="1" applyProtection="1">
      <alignment horizontal="left"/>
      <protection hidden="1"/>
    </xf>
    <xf numFmtId="0" fontId="11" fillId="33" borderId="20" xfId="47" applyFont="1" applyFill="1" applyBorder="1" applyAlignment="1" applyProtection="1">
      <alignment horizontal="left"/>
      <protection hidden="1"/>
    </xf>
    <xf numFmtId="0" fontId="11" fillId="33" borderId="13" xfId="47" applyFont="1" applyFill="1" applyBorder="1" applyAlignment="1" applyProtection="1">
      <alignment horizontal="left"/>
      <protection hidden="1"/>
    </xf>
    <xf numFmtId="0" fontId="0" fillId="33" borderId="20" xfId="53" applyFont="1" applyFill="1" applyBorder="1" applyProtection="1">
      <alignment/>
      <protection hidden="1"/>
    </xf>
    <xf numFmtId="0" fontId="3" fillId="33" borderId="18" xfId="53" applyFont="1" applyFill="1" applyBorder="1" applyAlignment="1" applyProtection="1">
      <alignment/>
      <protection hidden="1"/>
    </xf>
    <xf numFmtId="0" fontId="3" fillId="33" borderId="0" xfId="53" applyFont="1" applyFill="1" applyBorder="1" applyAlignment="1" applyProtection="1">
      <alignment horizontal="centerContinuous"/>
      <protection hidden="1"/>
    </xf>
    <xf numFmtId="0" fontId="3" fillId="33" borderId="14" xfId="53" applyFont="1" applyFill="1" applyBorder="1" applyAlignment="1" applyProtection="1">
      <alignment horizontal="centerContinuous"/>
      <protection hidden="1"/>
    </xf>
    <xf numFmtId="0" fontId="3" fillId="33" borderId="18" xfId="53" applyFont="1" applyFill="1" applyBorder="1" applyAlignment="1" applyProtection="1">
      <alignment horizontal="left"/>
      <protection hidden="1"/>
    </xf>
    <xf numFmtId="0" fontId="3" fillId="33" borderId="18" xfId="53" applyNumberFormat="1" applyFont="1" applyFill="1" applyBorder="1" applyAlignment="1" applyProtection="1">
      <alignment horizontal="left"/>
      <protection hidden="1"/>
    </xf>
    <xf numFmtId="0" fontId="0" fillId="33" borderId="0" xfId="53" applyFont="1" applyFill="1" applyProtection="1">
      <alignment/>
      <protection hidden="1"/>
    </xf>
    <xf numFmtId="49" fontId="0" fillId="33" borderId="17" xfId="53" applyNumberFormat="1" applyFont="1" applyFill="1" applyBorder="1" applyAlignment="1" applyProtection="1">
      <alignment horizontal="left"/>
      <protection locked="0"/>
    </xf>
    <xf numFmtId="49" fontId="0" fillId="33" borderId="10" xfId="53" applyNumberFormat="1" applyFont="1" applyFill="1" applyBorder="1" applyAlignment="1" applyProtection="1">
      <alignment horizontal="left"/>
      <protection locked="0"/>
    </xf>
    <xf numFmtId="168" fontId="0" fillId="33" borderId="12" xfId="53" applyNumberFormat="1" applyFont="1" applyFill="1" applyBorder="1" applyAlignment="1" applyProtection="1">
      <alignment horizontal="left"/>
      <protection locked="0"/>
    </xf>
    <xf numFmtId="168" fontId="0" fillId="33" borderId="21" xfId="53" applyNumberFormat="1" applyFont="1" applyFill="1" applyBorder="1" applyAlignment="1" applyProtection="1">
      <alignment horizontal="left"/>
      <protection locked="0"/>
    </xf>
    <xf numFmtId="49" fontId="0" fillId="33" borderId="0" xfId="53" applyNumberFormat="1" applyFont="1" applyFill="1" applyBorder="1" applyAlignment="1" applyProtection="1">
      <alignment horizontal="left"/>
      <protection locked="0"/>
    </xf>
    <xf numFmtId="49" fontId="0" fillId="33" borderId="14" xfId="53" applyNumberFormat="1" applyFont="1" applyFill="1" applyBorder="1" applyAlignment="1" applyProtection="1">
      <alignment horizontal="left"/>
      <protection locked="0"/>
    </xf>
    <xf numFmtId="0" fontId="12" fillId="33" borderId="20" xfId="46" applyFill="1" applyBorder="1" applyAlignment="1" applyProtection="1">
      <alignment horizontal="left"/>
      <protection locked="0"/>
    </xf>
    <xf numFmtId="0" fontId="11" fillId="33" borderId="20" xfId="47" applyFont="1" applyFill="1" applyBorder="1" applyAlignment="1" applyProtection="1">
      <alignment horizontal="left"/>
      <protection locked="0"/>
    </xf>
    <xf numFmtId="0" fontId="11" fillId="33" borderId="13" xfId="47" applyFont="1" applyFill="1" applyBorder="1" applyAlignment="1" applyProtection="1">
      <alignment horizontal="left"/>
      <protection locked="0"/>
    </xf>
    <xf numFmtId="0" fontId="0" fillId="33" borderId="16" xfId="53" applyFont="1" applyFill="1" applyBorder="1" applyAlignment="1" applyProtection="1">
      <alignment horizontal="left" vertical="top" wrapText="1"/>
      <protection hidden="1"/>
    </xf>
    <xf numFmtId="0" fontId="0" fillId="33" borderId="17" xfId="53" applyFont="1" applyFill="1" applyBorder="1" applyAlignment="1" applyProtection="1">
      <alignment horizontal="left" vertical="top" wrapText="1"/>
      <protection hidden="1"/>
    </xf>
    <xf numFmtId="0" fontId="0" fillId="33" borderId="10" xfId="53" applyFont="1" applyFill="1" applyBorder="1" applyAlignment="1" applyProtection="1">
      <alignment horizontal="left" vertical="top" wrapText="1"/>
      <protection hidden="1"/>
    </xf>
    <xf numFmtId="0" fontId="0" fillId="33" borderId="18" xfId="53" applyFont="1" applyFill="1" applyBorder="1" applyAlignment="1" applyProtection="1">
      <alignment horizontal="left" vertical="top" wrapText="1"/>
      <protection hidden="1"/>
    </xf>
    <xf numFmtId="0" fontId="0" fillId="33" borderId="0" xfId="53" applyFont="1" applyFill="1" applyBorder="1" applyAlignment="1" applyProtection="1">
      <alignment horizontal="left" vertical="top" wrapText="1"/>
      <protection hidden="1"/>
    </xf>
    <xf numFmtId="0" fontId="0" fillId="33" borderId="14" xfId="53" applyFont="1" applyFill="1" applyBorder="1" applyAlignment="1" applyProtection="1">
      <alignment horizontal="left" vertical="top" wrapText="1"/>
      <protection hidden="1"/>
    </xf>
    <xf numFmtId="0" fontId="0" fillId="33" borderId="19" xfId="53" applyFont="1" applyFill="1" applyBorder="1" applyAlignment="1" applyProtection="1">
      <alignment horizontal="left" vertical="top" wrapText="1"/>
      <protection hidden="1"/>
    </xf>
    <xf numFmtId="0" fontId="0" fillId="33" borderId="20" xfId="53" applyFont="1" applyFill="1" applyBorder="1" applyAlignment="1" applyProtection="1">
      <alignment horizontal="left" vertical="top" wrapText="1"/>
      <protection hidden="1"/>
    </xf>
    <xf numFmtId="0" fontId="0" fillId="33" borderId="13" xfId="53" applyFont="1" applyFill="1" applyBorder="1" applyAlignment="1" applyProtection="1">
      <alignment horizontal="left" vertical="top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_A_I_2_vj061_S" xfId="47"/>
    <cellStyle name="Comma" xfId="48"/>
    <cellStyle name="Neutral" xfId="49"/>
    <cellStyle name="Notiz" xfId="50"/>
    <cellStyle name="Percent" xfId="51"/>
    <cellStyle name="Schlecht" xfId="52"/>
    <cellStyle name="Standard_A_I_2_vj061_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" name="Picture 2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kaisersa\Lokale%20Einstellungen\Temporary%20Internet%20Files\OLKAF0\A_III_1_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II1Q Tab1 Übersicht"/>
      <sheetName val="AIII1Q Tab2 ZuFort Kreise"/>
      <sheetName val="AIII1Q Tab3 ZuFort KreiseMonate"/>
      <sheetName val="AIII1Q Tab4 ZuFort HerkunftZiel"/>
      <sheetName val="AIII1Q Text"/>
    </sheetNames>
    <sheetDataSet>
      <sheetData sheetId="0">
        <row r="5">
          <cell r="E5" t="str">
            <v>1. Vierteljahr 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18.421875" style="0" customWidth="1"/>
    <col min="2" max="2" width="18.28125" style="0" customWidth="1"/>
  </cols>
  <sheetData>
    <row r="1" spans="1:8" s="76" customFormat="1" ht="12.75">
      <c r="A1" s="72"/>
      <c r="B1" s="73" t="s">
        <v>76</v>
      </c>
      <c r="C1" s="74"/>
      <c r="D1" s="74"/>
      <c r="E1" s="74"/>
      <c r="F1" s="74"/>
      <c r="G1" s="74"/>
      <c r="H1" s="75"/>
    </row>
    <row r="2" spans="1:8" s="76" customFormat="1" ht="12.75">
      <c r="A2" s="77"/>
      <c r="B2" s="78" t="s">
        <v>67</v>
      </c>
      <c r="C2" s="79"/>
      <c r="D2" s="79"/>
      <c r="E2" s="79"/>
      <c r="F2" s="79"/>
      <c r="G2" s="79"/>
      <c r="H2" s="80"/>
    </row>
    <row r="3" spans="1:8" s="76" customFormat="1" ht="12.75">
      <c r="A3" s="81"/>
      <c r="B3" s="82" t="s">
        <v>77</v>
      </c>
      <c r="C3" s="83"/>
      <c r="D3" s="83"/>
      <c r="E3" s="83"/>
      <c r="F3" s="83"/>
      <c r="G3" s="83"/>
      <c r="H3" s="84"/>
    </row>
    <row r="4" spans="1:8" s="76" customFormat="1" ht="12.75">
      <c r="A4" s="85" t="s">
        <v>78</v>
      </c>
      <c r="B4" s="86" t="s">
        <v>68</v>
      </c>
      <c r="C4" s="86"/>
      <c r="D4" s="87"/>
      <c r="E4" s="86" t="s">
        <v>79</v>
      </c>
      <c r="F4" s="86" t="s">
        <v>69</v>
      </c>
      <c r="G4" s="86"/>
      <c r="H4" s="87"/>
    </row>
    <row r="5" spans="1:8" s="76" customFormat="1" ht="12.75">
      <c r="A5" s="88" t="s">
        <v>80</v>
      </c>
      <c r="B5" s="89" t="s">
        <v>81</v>
      </c>
      <c r="C5" s="89"/>
      <c r="D5" s="90"/>
      <c r="E5" s="89" t="s">
        <v>80</v>
      </c>
      <c r="F5" s="89" t="s">
        <v>82</v>
      </c>
      <c r="G5" s="89"/>
      <c r="H5" s="90"/>
    </row>
    <row r="6" spans="1:8" s="76" customFormat="1" ht="12.75">
      <c r="A6" s="88" t="s">
        <v>83</v>
      </c>
      <c r="B6" s="91" t="s">
        <v>84</v>
      </c>
      <c r="C6" s="89"/>
      <c r="D6" s="90"/>
      <c r="E6" s="89" t="s">
        <v>83</v>
      </c>
      <c r="F6" s="91" t="s">
        <v>85</v>
      </c>
      <c r="G6" s="92"/>
      <c r="H6" s="90"/>
    </row>
    <row r="7" spans="1:8" s="76" customFormat="1" ht="12.75">
      <c r="A7" s="88" t="s">
        <v>86</v>
      </c>
      <c r="B7" s="91" t="s">
        <v>87</v>
      </c>
      <c r="C7" s="89"/>
      <c r="D7" s="90"/>
      <c r="E7" s="89" t="s">
        <v>86</v>
      </c>
      <c r="F7" s="91" t="s">
        <v>88</v>
      </c>
      <c r="G7" s="92"/>
      <c r="H7" s="90"/>
    </row>
    <row r="8" spans="1:8" s="76" customFormat="1" ht="12.75">
      <c r="A8" s="93" t="s">
        <v>89</v>
      </c>
      <c r="B8" s="94" t="s">
        <v>90</v>
      </c>
      <c r="C8" s="95"/>
      <c r="D8" s="96"/>
      <c r="E8" s="97" t="s">
        <v>89</v>
      </c>
      <c r="F8" s="95" t="s">
        <v>91</v>
      </c>
      <c r="G8" s="95"/>
      <c r="H8" s="96"/>
    </row>
    <row r="9" spans="1:8" s="76" customFormat="1" ht="12.75">
      <c r="A9" s="85"/>
      <c r="B9" s="86"/>
      <c r="C9" s="86"/>
      <c r="D9" s="86"/>
      <c r="E9" s="86"/>
      <c r="F9" s="86"/>
      <c r="G9" s="86"/>
      <c r="H9" s="87"/>
    </row>
    <row r="10" spans="1:8" s="76" customFormat="1" ht="12.75">
      <c r="A10" s="98" t="s">
        <v>92</v>
      </c>
      <c r="B10" s="89"/>
      <c r="C10" s="89"/>
      <c r="D10" s="89"/>
      <c r="E10" s="89"/>
      <c r="F10" s="89"/>
      <c r="G10" s="89"/>
      <c r="H10" s="90"/>
    </row>
    <row r="11" spans="1:8" s="76" customFormat="1" ht="12.75">
      <c r="A11" s="98" t="s">
        <v>107</v>
      </c>
      <c r="B11" s="89"/>
      <c r="C11" s="99"/>
      <c r="D11" s="99"/>
      <c r="E11" s="99"/>
      <c r="F11" s="99"/>
      <c r="G11" s="99"/>
      <c r="H11" s="100"/>
    </row>
    <row r="12" spans="1:8" s="76" customFormat="1" ht="12.75">
      <c r="A12" s="101" t="s">
        <v>114</v>
      </c>
      <c r="B12" s="89"/>
      <c r="C12" s="99"/>
      <c r="D12" s="99"/>
      <c r="E12" s="99"/>
      <c r="F12" s="99"/>
      <c r="G12" s="99"/>
      <c r="H12" s="100"/>
    </row>
    <row r="13" spans="1:8" s="76" customFormat="1" ht="12.75">
      <c r="A13" s="102"/>
      <c r="B13" s="89"/>
      <c r="C13" s="89"/>
      <c r="D13" s="89"/>
      <c r="E13" s="89"/>
      <c r="F13" s="89"/>
      <c r="G13" s="89"/>
      <c r="H13" s="90"/>
    </row>
    <row r="14" spans="1:8" s="76" customFormat="1" ht="12.75">
      <c r="A14" s="88"/>
      <c r="B14" s="89"/>
      <c r="C14" s="89"/>
      <c r="D14" s="89"/>
      <c r="E14" s="89"/>
      <c r="F14" s="89"/>
      <c r="G14" s="89"/>
      <c r="H14" s="90"/>
    </row>
    <row r="15" spans="1:8" s="76" customFormat="1" ht="12.75">
      <c r="A15" s="88" t="s">
        <v>93</v>
      </c>
      <c r="B15" s="89"/>
      <c r="C15" s="103"/>
      <c r="D15" s="103"/>
      <c r="E15" s="103"/>
      <c r="F15" s="103"/>
      <c r="G15" s="89" t="s">
        <v>94</v>
      </c>
      <c r="H15" s="90"/>
    </row>
    <row r="16" spans="1:8" s="76" customFormat="1" ht="12.75">
      <c r="A16" s="85" t="s">
        <v>95</v>
      </c>
      <c r="B16" s="104" t="s">
        <v>99</v>
      </c>
      <c r="C16" s="104"/>
      <c r="D16" s="104"/>
      <c r="E16" s="105"/>
      <c r="F16" s="103"/>
      <c r="G16" s="106">
        <v>41081</v>
      </c>
      <c r="H16" s="107"/>
    </row>
    <row r="17" spans="1:8" s="76" customFormat="1" ht="12.75">
      <c r="A17" s="88" t="s">
        <v>83</v>
      </c>
      <c r="B17" s="108" t="s">
        <v>100</v>
      </c>
      <c r="C17" s="108"/>
      <c r="D17" s="108"/>
      <c r="E17" s="109"/>
      <c r="F17" s="89"/>
      <c r="G17" s="89"/>
      <c r="H17" s="90"/>
    </row>
    <row r="18" spans="1:8" s="76" customFormat="1" ht="12.75">
      <c r="A18" s="93" t="s">
        <v>89</v>
      </c>
      <c r="B18" s="110" t="s">
        <v>102</v>
      </c>
      <c r="C18" s="111"/>
      <c r="D18" s="111"/>
      <c r="E18" s="112"/>
      <c r="F18" s="89"/>
      <c r="G18" s="89"/>
      <c r="H18" s="90"/>
    </row>
    <row r="19" spans="1:8" s="76" customFormat="1" ht="12.75">
      <c r="A19" s="88"/>
      <c r="B19" s="89"/>
      <c r="C19" s="89"/>
      <c r="D19" s="89"/>
      <c r="E19" s="89"/>
      <c r="F19" s="89"/>
      <c r="G19" s="89"/>
      <c r="H19" s="90"/>
    </row>
    <row r="20" spans="1:8" s="76" customFormat="1" ht="12.75">
      <c r="A20" s="113" t="s">
        <v>96</v>
      </c>
      <c r="B20" s="114"/>
      <c r="C20" s="114"/>
      <c r="D20" s="114"/>
      <c r="E20" s="114"/>
      <c r="F20" s="114"/>
      <c r="G20" s="114"/>
      <c r="H20" s="115"/>
    </row>
    <row r="21" spans="1:8" s="76" customFormat="1" ht="12.75">
      <c r="A21" s="116" t="s">
        <v>97</v>
      </c>
      <c r="B21" s="117"/>
      <c r="C21" s="117"/>
      <c r="D21" s="117"/>
      <c r="E21" s="117"/>
      <c r="F21" s="117"/>
      <c r="G21" s="117"/>
      <c r="H21" s="118"/>
    </row>
    <row r="22" spans="1:8" s="76" customFormat="1" ht="12.75">
      <c r="A22" s="119" t="s">
        <v>98</v>
      </c>
      <c r="B22" s="120"/>
      <c r="C22" s="120"/>
      <c r="D22" s="120"/>
      <c r="E22" s="120"/>
      <c r="F22" s="120"/>
      <c r="G22" s="120"/>
      <c r="H22" s="121"/>
    </row>
  </sheetData>
  <sheetProtection/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Isolde.Schlueter@statistik-nord.de"/>
    <hyperlink ref="B3" r:id="rId5" display="http://www.statistik-nord.de/"/>
  </hyperlinks>
  <printOptions/>
  <pageMargins left="0.787401575" right="0.787401575" top="0.984251969" bottom="0.984251969" header="0.4921259845" footer="0.4921259845"/>
  <pageSetup horizontalDpi="600" verticalDpi="600" orientation="portrait" paperSize="9" scale="82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6">
      <selection activeCell="A12" sqref="A12"/>
    </sheetView>
  </sheetViews>
  <sheetFormatPr defaultColWidth="11.421875" defaultRowHeight="12.75"/>
  <cols>
    <col min="1" max="1" width="26.57421875" style="3" customWidth="1"/>
    <col min="2" max="2" width="13.421875" style="3" customWidth="1"/>
    <col min="3" max="3" width="12.7109375" style="3" customWidth="1"/>
    <col min="4" max="4" width="13.00390625" style="3" customWidth="1"/>
    <col min="5" max="5" width="13.421875" style="3" customWidth="1"/>
    <col min="6" max="6" width="12.8515625" style="3" customWidth="1"/>
    <col min="7" max="7" width="13.00390625" style="3" customWidth="1"/>
    <col min="8" max="16384" width="11.421875" style="3" customWidth="1"/>
  </cols>
  <sheetData>
    <row r="1" spans="1:7" ht="12.75">
      <c r="A1" s="2" t="s">
        <v>110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 customHeight="1">
      <c r="A3" s="33" t="s">
        <v>0</v>
      </c>
      <c r="B3" s="4"/>
      <c r="C3" s="4"/>
      <c r="D3" s="4"/>
      <c r="E3" s="4"/>
      <c r="F3" s="4"/>
      <c r="G3" s="4"/>
    </row>
    <row r="4" spans="1:7" ht="12.75">
      <c r="A4" s="4" t="s">
        <v>1</v>
      </c>
      <c r="B4" s="4"/>
      <c r="C4" s="4"/>
      <c r="D4" s="4"/>
      <c r="E4" s="4"/>
      <c r="F4" s="4"/>
      <c r="G4" s="4"/>
    </row>
    <row r="5" spans="1:7" ht="12.75">
      <c r="A5" s="5"/>
      <c r="B5" s="6" t="s">
        <v>108</v>
      </c>
      <c r="C5" s="6"/>
      <c r="D5" s="6"/>
      <c r="E5" s="6" t="s">
        <v>109</v>
      </c>
      <c r="F5" s="6"/>
      <c r="G5" s="7"/>
    </row>
    <row r="6" spans="1:7" ht="12.75">
      <c r="A6" s="8" t="s">
        <v>47</v>
      </c>
      <c r="B6" s="9" t="s">
        <v>2</v>
      </c>
      <c r="C6" s="9" t="s">
        <v>3</v>
      </c>
      <c r="D6" s="9" t="s">
        <v>4</v>
      </c>
      <c r="E6" s="9" t="s">
        <v>2</v>
      </c>
      <c r="F6" s="9" t="s">
        <v>3</v>
      </c>
      <c r="G6" s="10" t="s">
        <v>4</v>
      </c>
    </row>
    <row r="7" spans="1:7" ht="12.75">
      <c r="A7" s="62"/>
      <c r="B7" s="61"/>
      <c r="C7" s="61"/>
      <c r="D7" s="61"/>
      <c r="E7" s="61"/>
      <c r="F7" s="61"/>
      <c r="G7" s="61"/>
    </row>
    <row r="8" spans="1:7" ht="12.75">
      <c r="A8" s="14"/>
      <c r="B8" s="52" t="s">
        <v>35</v>
      </c>
      <c r="C8" s="11"/>
      <c r="D8" s="11"/>
      <c r="E8" s="11"/>
      <c r="F8" s="11"/>
      <c r="G8" s="11"/>
    </row>
    <row r="9" spans="1:7" ht="12.75">
      <c r="A9" s="14"/>
      <c r="B9" s="52"/>
      <c r="C9" s="11"/>
      <c r="D9" s="11"/>
      <c r="E9" s="11"/>
      <c r="F9" s="11"/>
      <c r="G9" s="11"/>
    </row>
    <row r="10" spans="1:7" ht="12.75">
      <c r="A10" s="48" t="s">
        <v>48</v>
      </c>
      <c r="B10" s="12">
        <v>20870</v>
      </c>
      <c r="C10" s="12">
        <v>10996</v>
      </c>
      <c r="D10" s="12">
        <f>B10-C10</f>
        <v>9874</v>
      </c>
      <c r="E10" s="12">
        <f>6165+7292+9483</f>
        <v>22940</v>
      </c>
      <c r="F10" s="12">
        <f>3260+4182+5001</f>
        <v>12443</v>
      </c>
      <c r="G10" s="12">
        <f>E10-F10</f>
        <v>10497</v>
      </c>
    </row>
    <row r="11" spans="1:7" ht="12.75">
      <c r="A11" s="48" t="s">
        <v>49</v>
      </c>
      <c r="B11" s="12">
        <v>18718</v>
      </c>
      <c r="C11" s="12">
        <v>9839</v>
      </c>
      <c r="D11" s="12">
        <f>B11-C11</f>
        <v>8879</v>
      </c>
      <c r="E11" s="12">
        <f>6554+6725+7208</f>
        <v>20487</v>
      </c>
      <c r="F11" s="12">
        <f>3674+3694+3745</f>
        <v>11113</v>
      </c>
      <c r="G11" s="12">
        <f>E11-F11</f>
        <v>9374</v>
      </c>
    </row>
    <row r="12" spans="1:7" ht="12.75">
      <c r="A12" s="48" t="s">
        <v>50</v>
      </c>
      <c r="B12" s="12">
        <f aca="true" t="shared" si="0" ref="B12:G12">B10-B11</f>
        <v>2152</v>
      </c>
      <c r="C12" s="12">
        <f t="shared" si="0"/>
        <v>1157</v>
      </c>
      <c r="D12" s="12">
        <f>D10-D11</f>
        <v>995</v>
      </c>
      <c r="E12" s="12">
        <f t="shared" si="0"/>
        <v>2453</v>
      </c>
      <c r="F12" s="12">
        <f t="shared" si="0"/>
        <v>1330</v>
      </c>
      <c r="G12" s="12">
        <f t="shared" si="0"/>
        <v>1123</v>
      </c>
    </row>
    <row r="13" spans="1:7" ht="25.5">
      <c r="A13" s="48" t="s">
        <v>51</v>
      </c>
      <c r="B13" s="13">
        <v>24257</v>
      </c>
      <c r="C13" s="13">
        <v>11949</v>
      </c>
      <c r="D13" s="12">
        <f>B13-C13</f>
        <v>12308</v>
      </c>
      <c r="E13" s="13">
        <f>8659+8043+8250</f>
        <v>24952</v>
      </c>
      <c r="F13" s="13">
        <f>4313+4008+4148</f>
        <v>12469</v>
      </c>
      <c r="G13" s="12">
        <f>E13-F13</f>
        <v>12483</v>
      </c>
    </row>
    <row r="14" spans="1:9" ht="12.75">
      <c r="A14" s="48"/>
      <c r="B14" s="13"/>
      <c r="C14" s="13"/>
      <c r="D14" s="12"/>
      <c r="E14" s="13"/>
      <c r="F14" s="13"/>
      <c r="G14" s="12"/>
      <c r="I14" s="70"/>
    </row>
    <row r="15" spans="1:7" ht="12.75">
      <c r="A15" s="14"/>
      <c r="B15" s="52" t="s">
        <v>25</v>
      </c>
      <c r="C15" s="11"/>
      <c r="D15" s="11"/>
      <c r="E15" s="11"/>
      <c r="F15" s="11"/>
      <c r="G15" s="11"/>
    </row>
    <row r="16" spans="1:7" ht="12.75">
      <c r="A16" s="14"/>
      <c r="B16" s="52"/>
      <c r="C16" s="11"/>
      <c r="D16" s="11"/>
      <c r="E16" s="11"/>
      <c r="F16" s="11"/>
      <c r="G16" s="11"/>
    </row>
    <row r="17" spans="1:7" ht="12.75">
      <c r="A17" s="48" t="s">
        <v>48</v>
      </c>
      <c r="B17" s="12">
        <v>19142</v>
      </c>
      <c r="C17" s="12">
        <v>9578</v>
      </c>
      <c r="D17" s="12">
        <f>B17-C17</f>
        <v>9564</v>
      </c>
      <c r="E17" s="12">
        <f>5864+6576+7651</f>
        <v>20091</v>
      </c>
      <c r="F17" s="12">
        <f>3072+3402+3826</f>
        <v>10300</v>
      </c>
      <c r="G17" s="12">
        <f>E17-F17</f>
        <v>9791</v>
      </c>
    </row>
    <row r="18" spans="1:7" ht="12.75">
      <c r="A18" s="48" t="s">
        <v>49</v>
      </c>
      <c r="B18" s="12">
        <v>16350</v>
      </c>
      <c r="C18" s="12">
        <v>8367</v>
      </c>
      <c r="D18" s="12">
        <f>B18-C18</f>
        <v>7983</v>
      </c>
      <c r="E18" s="12">
        <f>4829+5458+7119</f>
        <v>17406</v>
      </c>
      <c r="F18" s="12">
        <f>2589+2915+3632</f>
        <v>9136</v>
      </c>
      <c r="G18" s="12">
        <f>E18-F18</f>
        <v>8270</v>
      </c>
    </row>
    <row r="19" spans="1:7" ht="12.75">
      <c r="A19" s="48" t="s">
        <v>50</v>
      </c>
      <c r="B19" s="12">
        <f aca="true" t="shared" si="1" ref="B19:G19">B17-B18</f>
        <v>2792</v>
      </c>
      <c r="C19" s="12">
        <f t="shared" si="1"/>
        <v>1211</v>
      </c>
      <c r="D19" s="12">
        <f t="shared" si="1"/>
        <v>1581</v>
      </c>
      <c r="E19" s="12">
        <f t="shared" si="1"/>
        <v>2685</v>
      </c>
      <c r="F19" s="12">
        <f t="shared" si="1"/>
        <v>1164</v>
      </c>
      <c r="G19" s="12">
        <f t="shared" si="1"/>
        <v>1521</v>
      </c>
    </row>
    <row r="20" spans="1:7" ht="25.5">
      <c r="A20" s="58" t="s">
        <v>52</v>
      </c>
      <c r="B20" s="13">
        <v>28500</v>
      </c>
      <c r="C20" s="13">
        <v>14105</v>
      </c>
      <c r="D20" s="12">
        <f>B20-C20</f>
        <v>14395</v>
      </c>
      <c r="E20" s="13">
        <f>10162+10785+10178</f>
        <v>31125</v>
      </c>
      <c r="F20" s="13">
        <f>5112+5323+4972</f>
        <v>15407</v>
      </c>
      <c r="G20" s="12">
        <f>E20-F20</f>
        <v>15718</v>
      </c>
    </row>
    <row r="21" spans="1:7" ht="12.75">
      <c r="A21" s="1"/>
      <c r="B21" s="13"/>
      <c r="C21" s="13"/>
      <c r="D21" s="13"/>
      <c r="E21" s="13"/>
      <c r="F21" s="13"/>
      <c r="G21" s="13"/>
    </row>
    <row r="22" spans="1:7" ht="12.75">
      <c r="A22" s="1"/>
      <c r="B22" s="13"/>
      <c r="C22" s="13"/>
      <c r="D22" s="13"/>
      <c r="E22" s="13"/>
      <c r="F22" s="13"/>
      <c r="G22" s="13"/>
    </row>
    <row r="23" spans="1:7" ht="12.75">
      <c r="A23" s="15" t="s">
        <v>53</v>
      </c>
      <c r="B23" s="16"/>
      <c r="C23" s="16"/>
      <c r="D23" s="16"/>
      <c r="E23" s="16"/>
      <c r="F23" s="16"/>
      <c r="G23" s="16"/>
    </row>
    <row r="24" spans="1:7" ht="25.5">
      <c r="A24" s="17" t="s">
        <v>54</v>
      </c>
      <c r="B24" s="17"/>
      <c r="C24" s="17"/>
      <c r="D24" s="17"/>
      <c r="E24" s="17"/>
      <c r="F24" s="17"/>
      <c r="G24" s="17"/>
    </row>
    <row r="25" spans="1:7" ht="12.75">
      <c r="A25" s="16"/>
      <c r="B25" s="16"/>
      <c r="C25" s="16"/>
      <c r="D25" s="16"/>
      <c r="E25" s="16"/>
      <c r="F25" s="16"/>
      <c r="G25" s="16"/>
    </row>
    <row r="26" spans="1:7" ht="12.75">
      <c r="A26" s="15" t="s">
        <v>55</v>
      </c>
      <c r="B26" s="16"/>
      <c r="C26" s="16"/>
      <c r="D26" s="16"/>
      <c r="E26" s="16"/>
      <c r="F26" s="16"/>
      <c r="G26" s="16"/>
    </row>
    <row r="27" spans="1:7" ht="36" customHeight="1">
      <c r="A27" s="17" t="s">
        <v>103</v>
      </c>
      <c r="B27" s="17"/>
      <c r="C27" s="17"/>
      <c r="D27" s="17"/>
      <c r="E27" s="17"/>
      <c r="F27" s="17"/>
      <c r="G27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23.00390625" style="16" customWidth="1"/>
    <col min="2" max="2" width="9.57421875" style="16" bestFit="1" customWidth="1"/>
    <col min="3" max="3" width="10.57421875" style="16" bestFit="1" customWidth="1"/>
    <col min="4" max="4" width="12.28125" style="16" customWidth="1"/>
    <col min="5" max="5" width="9.57421875" style="16" bestFit="1" customWidth="1"/>
    <col min="6" max="6" width="10.57421875" style="16" bestFit="1" customWidth="1"/>
    <col min="7" max="7" width="12.28125" style="16" customWidth="1"/>
    <col min="8" max="8" width="11.28125" style="16" customWidth="1"/>
    <col min="9" max="16384" width="11.421875" style="16" customWidth="1"/>
  </cols>
  <sheetData>
    <row r="1" spans="1:8" ht="12.75">
      <c r="A1" s="18" t="s">
        <v>110</v>
      </c>
      <c r="B1" s="18"/>
      <c r="C1" s="18"/>
      <c r="D1" s="18"/>
      <c r="E1" s="18"/>
      <c r="F1" s="18"/>
      <c r="G1" s="18"/>
      <c r="H1" s="18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54" t="s">
        <v>111</v>
      </c>
      <c r="B3" s="18"/>
      <c r="C3" s="18"/>
      <c r="D3" s="18"/>
      <c r="E3" s="18"/>
      <c r="F3" s="18"/>
      <c r="G3" s="18"/>
      <c r="H3" s="18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8" ht="51">
      <c r="A5" s="20" t="s">
        <v>65</v>
      </c>
      <c r="B5" s="21" t="s">
        <v>6</v>
      </c>
      <c r="C5" s="21"/>
      <c r="D5" s="21"/>
      <c r="E5" s="21" t="s">
        <v>7</v>
      </c>
      <c r="F5" s="21"/>
      <c r="G5" s="21"/>
      <c r="H5" s="53" t="s">
        <v>106</v>
      </c>
    </row>
    <row r="6" spans="1:8" ht="41.25">
      <c r="A6" s="22" t="s">
        <v>8</v>
      </c>
      <c r="B6" s="23" t="s">
        <v>2</v>
      </c>
      <c r="C6" s="24" t="s">
        <v>104</v>
      </c>
      <c r="D6" s="23" t="s">
        <v>5</v>
      </c>
      <c r="E6" s="23" t="s">
        <v>2</v>
      </c>
      <c r="F6" s="24" t="s">
        <v>105</v>
      </c>
      <c r="G6" s="23" t="s">
        <v>5</v>
      </c>
      <c r="H6" s="34" t="s">
        <v>9</v>
      </c>
    </row>
    <row r="7" spans="1:8" ht="12.75">
      <c r="A7" s="65"/>
      <c r="B7" s="63"/>
      <c r="C7" s="64"/>
      <c r="D7" s="63"/>
      <c r="E7" s="63"/>
      <c r="F7" s="64"/>
      <c r="G7" s="63"/>
      <c r="H7" s="63"/>
    </row>
    <row r="8" spans="1:8" ht="12.75">
      <c r="A8" s="14"/>
      <c r="B8" s="25" t="s">
        <v>35</v>
      </c>
      <c r="C8" s="26"/>
      <c r="D8" s="26"/>
      <c r="E8" s="26"/>
      <c r="F8" s="26"/>
      <c r="G8" s="26"/>
      <c r="H8" s="26"/>
    </row>
    <row r="9" spans="1:8" ht="12.75">
      <c r="A9" s="14"/>
      <c r="B9" s="25"/>
      <c r="C9" s="26"/>
      <c r="D9" s="26"/>
      <c r="E9" s="26"/>
      <c r="F9" s="26"/>
      <c r="G9" s="26"/>
      <c r="H9" s="26"/>
    </row>
    <row r="10" spans="1:8" ht="12.75">
      <c r="A10" s="27" t="s">
        <v>56</v>
      </c>
      <c r="B10" s="12">
        <f>C10+D10</f>
        <v>8814</v>
      </c>
      <c r="C10" s="12">
        <f>1220+1194+1224</f>
        <v>3638</v>
      </c>
      <c r="D10" s="12">
        <f>1254+1915+2007</f>
        <v>5176</v>
      </c>
      <c r="E10" s="12">
        <f>F10+G10</f>
        <v>8395</v>
      </c>
      <c r="F10" s="12">
        <f>1407+1331+1329</f>
        <v>4067</v>
      </c>
      <c r="G10" s="12">
        <f>1361+1637+1330</f>
        <v>4328</v>
      </c>
      <c r="H10" s="28">
        <f>B10-E10</f>
        <v>419</v>
      </c>
    </row>
    <row r="11" spans="1:8" ht="12.75">
      <c r="A11" s="27" t="s">
        <v>57</v>
      </c>
      <c r="B11" s="12">
        <f aca="true" t="shared" si="0" ref="B11:B41">C11+D11</f>
        <v>6810</v>
      </c>
      <c r="C11" s="12">
        <f>1397+1257+1247</f>
        <v>3901</v>
      </c>
      <c r="D11" s="12">
        <f>801+909+1199</f>
        <v>2909</v>
      </c>
      <c r="E11" s="12">
        <f aca="true" t="shared" si="1" ref="E11:E18">F11+G11</f>
        <v>6692</v>
      </c>
      <c r="F11" s="12">
        <f>1309+1201+1298</f>
        <v>3808</v>
      </c>
      <c r="G11" s="12">
        <f>902+962+1020</f>
        <v>2884</v>
      </c>
      <c r="H11" s="28">
        <f aca="true" t="shared" si="2" ref="H11:H43">B11-E11</f>
        <v>118</v>
      </c>
    </row>
    <row r="12" spans="1:8" ht="12.75">
      <c r="A12" s="27" t="s">
        <v>58</v>
      </c>
      <c r="B12" s="12">
        <f t="shared" si="0"/>
        <v>6798</v>
      </c>
      <c r="C12" s="12">
        <f>1149+1110+1286</f>
        <v>3545</v>
      </c>
      <c r="D12" s="12">
        <f>896+927+1430</f>
        <v>3253</v>
      </c>
      <c r="E12" s="12">
        <f t="shared" si="1"/>
        <v>6628</v>
      </c>
      <c r="F12" s="12">
        <f>1229+1245+1263</f>
        <v>3737</v>
      </c>
      <c r="G12" s="12">
        <f>951+880+1060</f>
        <v>2891</v>
      </c>
      <c r="H12" s="28">
        <f t="shared" si="2"/>
        <v>170</v>
      </c>
    </row>
    <row r="13" spans="1:8" ht="12.75">
      <c r="A13" s="27" t="s">
        <v>59</v>
      </c>
      <c r="B13" s="12">
        <f t="shared" si="0"/>
        <v>9747</v>
      </c>
      <c r="C13" s="12">
        <f>1824+1634+1675</f>
        <v>5133</v>
      </c>
      <c r="D13" s="12">
        <f>1313+1346+1955</f>
        <v>4614</v>
      </c>
      <c r="E13" s="12">
        <f t="shared" si="1"/>
        <v>8947</v>
      </c>
      <c r="F13" s="12">
        <f>2001+1694+1791</f>
        <v>5486</v>
      </c>
      <c r="G13" s="12">
        <f>1045+1088+1328</f>
        <v>3461</v>
      </c>
      <c r="H13" s="28">
        <f t="shared" si="2"/>
        <v>800</v>
      </c>
    </row>
    <row r="14" spans="1:8" ht="12.75">
      <c r="A14" s="27" t="s">
        <v>60</v>
      </c>
      <c r="B14" s="12">
        <f t="shared" si="0"/>
        <v>9246</v>
      </c>
      <c r="C14" s="12">
        <f>1993+1836+1650</f>
        <v>5479</v>
      </c>
      <c r="D14" s="12">
        <f>1045+1135+1587</f>
        <v>3767</v>
      </c>
      <c r="E14" s="12">
        <f t="shared" si="1"/>
        <v>8380</v>
      </c>
      <c r="F14" s="12">
        <f>1620+1556+1472</f>
        <v>4648</v>
      </c>
      <c r="G14" s="12">
        <f>1221+1110+1401</f>
        <v>3732</v>
      </c>
      <c r="H14" s="28">
        <f t="shared" si="2"/>
        <v>866</v>
      </c>
    </row>
    <row r="15" spans="1:8" ht="12.75">
      <c r="A15" s="27" t="s">
        <v>61</v>
      </c>
      <c r="B15" s="12">
        <f t="shared" si="0"/>
        <v>2409</v>
      </c>
      <c r="C15" s="12">
        <f>437+394+483</f>
        <v>1314</v>
      </c>
      <c r="D15" s="12">
        <f>328+377+390</f>
        <v>1095</v>
      </c>
      <c r="E15" s="12">
        <f t="shared" si="1"/>
        <v>2477</v>
      </c>
      <c r="F15" s="12">
        <f>426+380+423</f>
        <v>1229</v>
      </c>
      <c r="G15" s="12">
        <f>428+419+401</f>
        <v>1248</v>
      </c>
      <c r="H15" s="28">
        <f t="shared" si="2"/>
        <v>-68</v>
      </c>
    </row>
    <row r="16" spans="1:8" ht="12.75">
      <c r="A16" s="27" t="s">
        <v>45</v>
      </c>
      <c r="B16" s="12">
        <f t="shared" si="0"/>
        <v>4068</v>
      </c>
      <c r="C16" s="12">
        <f>639+618+685</f>
        <v>1942</v>
      </c>
      <c r="D16" s="12">
        <f>528+683+915</f>
        <v>2126</v>
      </c>
      <c r="E16" s="12">
        <f t="shared" si="1"/>
        <v>3920</v>
      </c>
      <c r="F16" s="12">
        <f>667+636+674</f>
        <v>1977</v>
      </c>
      <c r="G16" s="12">
        <f>646+629+668</f>
        <v>1943</v>
      </c>
      <c r="H16" s="28">
        <f t="shared" si="2"/>
        <v>148</v>
      </c>
    </row>
    <row r="17" spans="1:8" ht="12.75">
      <c r="A17" s="27"/>
      <c r="B17" s="12"/>
      <c r="C17" s="12"/>
      <c r="D17" s="12"/>
      <c r="E17" s="12"/>
      <c r="F17" s="12"/>
      <c r="G17" s="12"/>
      <c r="H17" s="28"/>
    </row>
    <row r="18" spans="1:8" ht="12.75">
      <c r="A18" s="29" t="s">
        <v>35</v>
      </c>
      <c r="B18" s="55">
        <f t="shared" si="0"/>
        <v>47892</v>
      </c>
      <c r="C18" s="30">
        <f>SUM(C10:C16)</f>
        <v>24952</v>
      </c>
      <c r="D18" s="30">
        <f>SUM(D10:D16)</f>
        <v>22940</v>
      </c>
      <c r="E18" s="55">
        <f t="shared" si="1"/>
        <v>45439</v>
      </c>
      <c r="F18" s="30">
        <f>SUM(F10:F16)</f>
        <v>24952</v>
      </c>
      <c r="G18" s="30">
        <f>SUM(G10:G16)</f>
        <v>20487</v>
      </c>
      <c r="H18" s="31">
        <f t="shared" si="2"/>
        <v>2453</v>
      </c>
    </row>
    <row r="19" spans="1:8" ht="12.75">
      <c r="A19" s="29"/>
      <c r="B19" s="55"/>
      <c r="C19" s="30"/>
      <c r="D19" s="30"/>
      <c r="E19" s="55"/>
      <c r="F19" s="30"/>
      <c r="G19" s="30"/>
      <c r="H19" s="31"/>
    </row>
    <row r="20" spans="1:8" ht="12.75">
      <c r="A20" s="14"/>
      <c r="B20" s="26" t="s">
        <v>25</v>
      </c>
      <c r="C20" s="26"/>
      <c r="D20" s="26"/>
      <c r="E20" s="26"/>
      <c r="F20" s="26"/>
      <c r="G20" s="26"/>
      <c r="H20" s="26"/>
    </row>
    <row r="21" spans="1:8" ht="12.75">
      <c r="A21" s="14"/>
      <c r="B21" s="26"/>
      <c r="C21" s="26"/>
      <c r="D21" s="26"/>
      <c r="E21" s="26"/>
      <c r="F21" s="26"/>
      <c r="G21" s="26"/>
      <c r="H21" s="26"/>
    </row>
    <row r="22" spans="1:8" ht="12.75">
      <c r="A22" s="27" t="s">
        <v>10</v>
      </c>
      <c r="B22" s="57">
        <f t="shared" si="0"/>
        <v>2000</v>
      </c>
      <c r="C22" s="12">
        <f>303+339+496</f>
        <v>1138</v>
      </c>
      <c r="D22" s="12">
        <f>181+220+461</f>
        <v>862</v>
      </c>
      <c r="E22" s="12">
        <f>F22+G22</f>
        <v>1600</v>
      </c>
      <c r="F22" s="12">
        <f>254+343+248</f>
        <v>845</v>
      </c>
      <c r="G22" s="12">
        <f>373+220+162</f>
        <v>755</v>
      </c>
      <c r="H22" s="56">
        <f t="shared" si="2"/>
        <v>400</v>
      </c>
    </row>
    <row r="23" spans="1:8" ht="12.75">
      <c r="A23" s="27" t="s">
        <v>11</v>
      </c>
      <c r="B23" s="57">
        <f t="shared" si="0"/>
        <v>4977</v>
      </c>
      <c r="C23" s="12">
        <f>617+730+938</f>
        <v>2285</v>
      </c>
      <c r="D23" s="12">
        <f>1485+715+492</f>
        <v>2692</v>
      </c>
      <c r="E23" s="12">
        <f>F23+G23</f>
        <v>3486</v>
      </c>
      <c r="F23" s="12">
        <f>615+627+522</f>
        <v>1764</v>
      </c>
      <c r="G23" s="12">
        <f>754+515+453</f>
        <v>1722</v>
      </c>
      <c r="H23" s="56">
        <f t="shared" si="2"/>
        <v>1491</v>
      </c>
    </row>
    <row r="24" spans="1:8" ht="12.75">
      <c r="A24" s="27" t="s">
        <v>12</v>
      </c>
      <c r="B24" s="57">
        <f t="shared" si="0"/>
        <v>2841</v>
      </c>
      <c r="C24" s="12">
        <f>352+386+424</f>
        <v>1162</v>
      </c>
      <c r="D24" s="12">
        <f>399+518+762</f>
        <v>1679</v>
      </c>
      <c r="E24" s="12">
        <f>F24+G24</f>
        <v>2596</v>
      </c>
      <c r="F24" s="12">
        <f>365+367+355</f>
        <v>1087</v>
      </c>
      <c r="G24" s="12">
        <f>600+457+452</f>
        <v>1509</v>
      </c>
      <c r="H24" s="56">
        <f t="shared" si="2"/>
        <v>245</v>
      </c>
    </row>
    <row r="25" spans="1:8" ht="12.75">
      <c r="A25" s="27" t="s">
        <v>13</v>
      </c>
      <c r="B25" s="57">
        <f t="shared" si="0"/>
        <v>1500</v>
      </c>
      <c r="C25" s="12">
        <f>209+213+235</f>
        <v>657</v>
      </c>
      <c r="D25" s="12">
        <f>262+296+285</f>
        <v>843</v>
      </c>
      <c r="E25" s="12">
        <f>F25+G25</f>
        <v>1375</v>
      </c>
      <c r="F25" s="12">
        <f>271+303+304</f>
        <v>878</v>
      </c>
      <c r="G25" s="12">
        <f>149+157+191</f>
        <v>497</v>
      </c>
      <c r="H25" s="56">
        <f t="shared" si="2"/>
        <v>125</v>
      </c>
    </row>
    <row r="26" spans="1:8" ht="12.75">
      <c r="A26" s="27"/>
      <c r="B26" s="57"/>
      <c r="C26" s="12"/>
      <c r="D26" s="12"/>
      <c r="E26" s="12"/>
      <c r="F26" s="12"/>
      <c r="G26" s="12"/>
      <c r="H26" s="56"/>
    </row>
    <row r="27" spans="1:8" ht="12.75" customHeight="1">
      <c r="A27" s="27" t="s">
        <v>62</v>
      </c>
      <c r="B27" s="57">
        <f t="shared" si="0"/>
        <v>11318</v>
      </c>
      <c r="C27" s="12">
        <f>SUM(C22:C25)</f>
        <v>5242</v>
      </c>
      <c r="D27" s="12">
        <f>SUM(D22:D25)</f>
        <v>6076</v>
      </c>
      <c r="E27" s="12">
        <f>SUM(E22:E25)</f>
        <v>9057</v>
      </c>
      <c r="F27" s="12">
        <f>SUM(F22:F25)</f>
        <v>4574</v>
      </c>
      <c r="G27" s="12">
        <f>SUM(G22:G25)</f>
        <v>4483</v>
      </c>
      <c r="H27" s="56">
        <f t="shared" si="2"/>
        <v>2261</v>
      </c>
    </row>
    <row r="28" spans="1:8" ht="12.75" customHeight="1">
      <c r="A28" s="27"/>
      <c r="B28" s="57"/>
      <c r="C28" s="12"/>
      <c r="D28" s="12"/>
      <c r="E28" s="12"/>
      <c r="F28" s="12"/>
      <c r="G28" s="12"/>
      <c r="H28" s="56"/>
    </row>
    <row r="29" spans="1:8" ht="12.75">
      <c r="A29" s="27" t="s">
        <v>14</v>
      </c>
      <c r="B29" s="57">
        <f t="shared" si="0"/>
        <v>2442</v>
      </c>
      <c r="C29" s="12">
        <f>616+643+641</f>
        <v>1900</v>
      </c>
      <c r="D29" s="12">
        <f>164+187+191</f>
        <v>542</v>
      </c>
      <c r="E29" s="12">
        <f>F29+G29</f>
        <v>2683</v>
      </c>
      <c r="F29" s="12">
        <f>654+645+653</f>
        <v>1952</v>
      </c>
      <c r="G29" s="12">
        <f>168+217+346</f>
        <v>731</v>
      </c>
      <c r="H29" s="56">
        <f t="shared" si="2"/>
        <v>-241</v>
      </c>
    </row>
    <row r="30" spans="1:8" s="32" customFormat="1" ht="12.75">
      <c r="A30" s="27" t="s">
        <v>15</v>
      </c>
      <c r="B30" s="59">
        <f t="shared" si="0"/>
        <v>3418</v>
      </c>
      <c r="C30" s="60">
        <f>710+714+454</f>
        <v>1878</v>
      </c>
      <c r="D30" s="60">
        <f>550+611+379</f>
        <v>1540</v>
      </c>
      <c r="E30" s="12">
        <f aca="true" t="shared" si="3" ref="E30:E39">F30+G30</f>
        <v>3224</v>
      </c>
      <c r="F30" s="60">
        <f>616+694+539</f>
        <v>1849</v>
      </c>
      <c r="G30" s="60">
        <f>392+451+532</f>
        <v>1375</v>
      </c>
      <c r="H30" s="56">
        <f t="shared" si="2"/>
        <v>194</v>
      </c>
    </row>
    <row r="31" spans="1:8" ht="12.75">
      <c r="A31" s="27" t="s">
        <v>16</v>
      </c>
      <c r="B31" s="57">
        <f t="shared" si="0"/>
        <v>3088</v>
      </c>
      <c r="C31" s="12">
        <f>838+717+662</f>
        <v>2217</v>
      </c>
      <c r="D31" s="12">
        <f>288+281+302</f>
        <v>871</v>
      </c>
      <c r="E31" s="12">
        <f t="shared" si="3"/>
        <v>3451</v>
      </c>
      <c r="F31" s="12">
        <f>874+748+732</f>
        <v>2354</v>
      </c>
      <c r="G31" s="12">
        <f>251+355+491</f>
        <v>1097</v>
      </c>
      <c r="H31" s="56">
        <f t="shared" si="2"/>
        <v>-363</v>
      </c>
    </row>
    <row r="32" spans="1:8" ht="12.75">
      <c r="A32" s="27" t="s">
        <v>17</v>
      </c>
      <c r="B32" s="57">
        <f t="shared" si="0"/>
        <v>3278</v>
      </c>
      <c r="C32" s="12">
        <f>712+812+779</f>
        <v>2303</v>
      </c>
      <c r="D32" s="12">
        <f>303+301+371</f>
        <v>975</v>
      </c>
      <c r="E32" s="12">
        <f t="shared" si="3"/>
        <v>3478</v>
      </c>
      <c r="F32" s="12">
        <f>697+816+802</f>
        <v>2315</v>
      </c>
      <c r="G32" s="12">
        <f>268+423+472</f>
        <v>1163</v>
      </c>
      <c r="H32" s="56">
        <f t="shared" si="2"/>
        <v>-200</v>
      </c>
    </row>
    <row r="33" spans="1:8" ht="12.75">
      <c r="A33" s="27" t="s">
        <v>18</v>
      </c>
      <c r="B33" s="57">
        <f t="shared" si="0"/>
        <v>5342</v>
      </c>
      <c r="C33" s="12">
        <f>746+866+833</f>
        <v>2445</v>
      </c>
      <c r="D33" s="12">
        <f>836+1012+1049</f>
        <v>2897</v>
      </c>
      <c r="E33" s="12">
        <f t="shared" si="3"/>
        <v>4819</v>
      </c>
      <c r="F33" s="12">
        <f>787+933+934</f>
        <v>2654</v>
      </c>
      <c r="G33" s="12">
        <f>693+663+809</f>
        <v>2165</v>
      </c>
      <c r="H33" s="56">
        <f t="shared" si="2"/>
        <v>523</v>
      </c>
    </row>
    <row r="34" spans="1:8" ht="12.75">
      <c r="A34" s="27" t="s">
        <v>19</v>
      </c>
      <c r="B34" s="57">
        <f t="shared" si="0"/>
        <v>2224</v>
      </c>
      <c r="C34" s="12">
        <f>746+566+474</f>
        <v>1786</v>
      </c>
      <c r="D34" s="12">
        <f>162+143+133</f>
        <v>438</v>
      </c>
      <c r="E34" s="12">
        <f t="shared" si="3"/>
        <v>2281</v>
      </c>
      <c r="F34" s="12">
        <f>702+532+555</f>
        <v>1789</v>
      </c>
      <c r="G34" s="12">
        <f>124+163+205</f>
        <v>492</v>
      </c>
      <c r="H34" s="56">
        <f t="shared" si="2"/>
        <v>-57</v>
      </c>
    </row>
    <row r="35" spans="1:8" ht="12.75">
      <c r="A35" s="27" t="s">
        <v>20</v>
      </c>
      <c r="B35" s="57">
        <f t="shared" si="0"/>
        <v>4907</v>
      </c>
      <c r="C35" s="12">
        <f>1242+1338+1226</f>
        <v>3806</v>
      </c>
      <c r="D35" s="12">
        <f>316+393+392</f>
        <v>1101</v>
      </c>
      <c r="E35" s="12">
        <f t="shared" si="3"/>
        <v>4996</v>
      </c>
      <c r="F35" s="12">
        <f>1209+1371+1300</f>
        <v>3880</v>
      </c>
      <c r="G35" s="12">
        <f>297+355+464</f>
        <v>1116</v>
      </c>
      <c r="H35" s="56">
        <f t="shared" si="2"/>
        <v>-89</v>
      </c>
    </row>
    <row r="36" spans="1:8" ht="12.75">
      <c r="A36" s="27" t="s">
        <v>21</v>
      </c>
      <c r="B36" s="57">
        <f t="shared" si="0"/>
        <v>3908</v>
      </c>
      <c r="C36" s="12">
        <f>974+1216+925</f>
        <v>3115</v>
      </c>
      <c r="D36" s="12">
        <f>226+293+274</f>
        <v>793</v>
      </c>
      <c r="E36" s="12">
        <f t="shared" si="3"/>
        <v>3896</v>
      </c>
      <c r="F36" s="12">
        <f>968+1128+999</f>
        <v>3095</v>
      </c>
      <c r="G36" s="12">
        <f>223+262+316</f>
        <v>801</v>
      </c>
      <c r="H36" s="56">
        <f t="shared" si="2"/>
        <v>12</v>
      </c>
    </row>
    <row r="37" spans="1:8" ht="12.75">
      <c r="A37" s="27" t="s">
        <v>22</v>
      </c>
      <c r="B37" s="57">
        <f t="shared" si="0"/>
        <v>4843</v>
      </c>
      <c r="C37" s="12">
        <f>928+878+1013</f>
        <v>2819</v>
      </c>
      <c r="D37" s="12">
        <f>627+640+757</f>
        <v>2024</v>
      </c>
      <c r="E37" s="12">
        <f t="shared" si="3"/>
        <v>4478</v>
      </c>
      <c r="F37" s="12">
        <f>952+903+1038</f>
        <v>2893</v>
      </c>
      <c r="G37" s="12">
        <f>452+497+636</f>
        <v>1585</v>
      </c>
      <c r="H37" s="56">
        <f t="shared" si="2"/>
        <v>365</v>
      </c>
    </row>
    <row r="38" spans="1:8" ht="12.75">
      <c r="A38" s="27" t="s">
        <v>23</v>
      </c>
      <c r="B38" s="57">
        <f t="shared" si="0"/>
        <v>2236</v>
      </c>
      <c r="C38" s="12">
        <f>502+715+448</f>
        <v>1665</v>
      </c>
      <c r="D38" s="12">
        <f>170+269+132</f>
        <v>571</v>
      </c>
      <c r="E38" s="12">
        <f t="shared" si="3"/>
        <v>2369</v>
      </c>
      <c r="F38" s="12">
        <f>473+703+516</f>
        <v>1692</v>
      </c>
      <c r="G38" s="12">
        <f>198+220+259</f>
        <v>677</v>
      </c>
      <c r="H38" s="56">
        <f t="shared" si="2"/>
        <v>-133</v>
      </c>
    </row>
    <row r="39" spans="1:8" ht="12.75">
      <c r="A39" s="27" t="s">
        <v>24</v>
      </c>
      <c r="B39" s="57">
        <f t="shared" si="0"/>
        <v>4212</v>
      </c>
      <c r="C39" s="12">
        <f>667+652+630</f>
        <v>1949</v>
      </c>
      <c r="D39" s="12">
        <f>888+697+678</f>
        <v>2263</v>
      </c>
      <c r="E39" s="12">
        <f t="shared" si="3"/>
        <v>3799</v>
      </c>
      <c r="F39" s="12">
        <f>725+672+681</f>
        <v>2078</v>
      </c>
      <c r="G39" s="12">
        <f>547+503+671</f>
        <v>1721</v>
      </c>
      <c r="H39" s="56">
        <f t="shared" si="2"/>
        <v>413</v>
      </c>
    </row>
    <row r="40" spans="1:8" ht="12.75">
      <c r="A40" s="27"/>
      <c r="B40" s="57"/>
      <c r="C40" s="12"/>
      <c r="D40" s="12"/>
      <c r="E40" s="12"/>
      <c r="F40" s="12"/>
      <c r="G40" s="12"/>
      <c r="H40" s="56"/>
    </row>
    <row r="41" spans="1:8" ht="12.75">
      <c r="A41" s="27" t="s">
        <v>63</v>
      </c>
      <c r="B41" s="57">
        <f t="shared" si="0"/>
        <v>39898</v>
      </c>
      <c r="C41" s="12">
        <f>SUM(C29:C39)</f>
        <v>25883</v>
      </c>
      <c r="D41" s="12">
        <f>SUM(D29:D39)</f>
        <v>14015</v>
      </c>
      <c r="E41" s="12">
        <f>SUM(E29:E39)</f>
        <v>39474</v>
      </c>
      <c r="F41" s="12">
        <f>SUM(F29:F39)</f>
        <v>26551</v>
      </c>
      <c r="G41" s="12">
        <f>SUM(G29:G39)</f>
        <v>12923</v>
      </c>
      <c r="H41" s="56">
        <f t="shared" si="2"/>
        <v>424</v>
      </c>
    </row>
    <row r="42" spans="1:8" ht="12.75">
      <c r="A42" s="27"/>
      <c r="B42" s="57"/>
      <c r="C42" s="12"/>
      <c r="D42" s="12"/>
      <c r="E42" s="12"/>
      <c r="F42" s="12"/>
      <c r="G42" s="12"/>
      <c r="H42" s="56"/>
    </row>
    <row r="43" spans="1:8" ht="12.75">
      <c r="A43" s="29" t="s">
        <v>25</v>
      </c>
      <c r="B43" s="55">
        <f aca="true" t="shared" si="4" ref="B43:G43">B27+B41</f>
        <v>51216</v>
      </c>
      <c r="C43" s="55">
        <f t="shared" si="4"/>
        <v>31125</v>
      </c>
      <c r="D43" s="55">
        <f t="shared" si="4"/>
        <v>20091</v>
      </c>
      <c r="E43" s="55">
        <f t="shared" si="4"/>
        <v>48531</v>
      </c>
      <c r="F43" s="55">
        <f t="shared" si="4"/>
        <v>31125</v>
      </c>
      <c r="G43" s="55">
        <f t="shared" si="4"/>
        <v>17406</v>
      </c>
      <c r="H43" s="31">
        <f t="shared" si="2"/>
        <v>2685</v>
      </c>
    </row>
    <row r="44" spans="1:8" ht="12.75">
      <c r="A44" s="32"/>
      <c r="B44" s="32"/>
      <c r="C44" s="32"/>
      <c r="D44" s="32"/>
      <c r="E44" s="32"/>
      <c r="F44" s="32"/>
      <c r="G44" s="32"/>
      <c r="H44" s="32"/>
    </row>
    <row r="45" spans="1:8" ht="12.75">
      <c r="A45" s="71" t="s">
        <v>66</v>
      </c>
      <c r="B45" s="71"/>
      <c r="C45" s="17"/>
      <c r="D45" s="17"/>
      <c r="E45" s="17"/>
      <c r="F45" s="17"/>
      <c r="G45" s="17"/>
      <c r="H45" s="17"/>
    </row>
    <row r="46" spans="1:8" ht="12.75">
      <c r="A46" s="71" t="s">
        <v>64</v>
      </c>
      <c r="B46" s="71"/>
      <c r="C46" s="17"/>
      <c r="D46" s="17"/>
      <c r="E46" s="17"/>
      <c r="F46" s="17"/>
      <c r="G46" s="17"/>
      <c r="H46" s="17"/>
    </row>
  </sheetData>
  <sheetProtection/>
  <mergeCells count="2">
    <mergeCell ref="A45:B45"/>
    <mergeCell ref="A46:B46"/>
  </mergeCells>
  <printOptions/>
  <pageMargins left="0.787401575" right="0.787401575" top="0.984251969" bottom="0.984251969" header="0.4921259845" footer="0.492125984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3">
      <selection activeCell="A12" sqref="A12"/>
    </sheetView>
  </sheetViews>
  <sheetFormatPr defaultColWidth="11.421875" defaultRowHeight="12.75"/>
  <cols>
    <col min="1" max="1" width="24.421875" style="3" customWidth="1"/>
    <col min="2" max="16384" width="11.421875" style="3" customWidth="1"/>
  </cols>
  <sheetData>
    <row r="1" spans="1:8" ht="12.75">
      <c r="A1" s="2" t="s">
        <v>110</v>
      </c>
      <c r="B1" s="35"/>
      <c r="C1" s="35"/>
      <c r="D1" s="35"/>
      <c r="E1" s="35"/>
      <c r="F1" s="35"/>
      <c r="G1" s="35"/>
      <c r="H1" s="35"/>
    </row>
    <row r="2" spans="1:8" ht="12.75">
      <c r="A2" s="35"/>
      <c r="B2" s="35"/>
      <c r="C2" s="35"/>
      <c r="D2" s="35"/>
      <c r="E2" s="35"/>
      <c r="F2" s="35"/>
      <c r="G2" s="35"/>
      <c r="H2" s="35"/>
    </row>
    <row r="3" spans="1:10" ht="12.75">
      <c r="A3" s="36" t="s">
        <v>112</v>
      </c>
      <c r="B3" s="37"/>
      <c r="C3" s="37"/>
      <c r="D3" s="37"/>
      <c r="E3" s="37"/>
      <c r="F3" s="37"/>
      <c r="G3" s="37"/>
      <c r="H3" s="37"/>
      <c r="I3" s="43"/>
      <c r="J3" s="43"/>
    </row>
    <row r="4" spans="1:9" ht="12.75">
      <c r="A4" s="44" t="s">
        <v>26</v>
      </c>
      <c r="B4" s="37"/>
      <c r="C4" s="37"/>
      <c r="D4" s="37"/>
      <c r="E4" s="37"/>
      <c r="F4" s="37"/>
      <c r="G4" s="37"/>
      <c r="H4" s="37"/>
      <c r="I4" s="43"/>
    </row>
    <row r="5" spans="1:10" ht="12.75">
      <c r="A5" s="36" t="s">
        <v>35</v>
      </c>
      <c r="B5" s="37"/>
      <c r="C5" s="37"/>
      <c r="D5" s="37"/>
      <c r="E5" s="37"/>
      <c r="F5" s="37"/>
      <c r="G5" s="37"/>
      <c r="H5" s="37"/>
      <c r="I5" s="43"/>
      <c r="J5" s="43"/>
    </row>
    <row r="6" spans="1:8" ht="12.75">
      <c r="A6" s="38"/>
      <c r="B6" s="37"/>
      <c r="F6" s="37"/>
      <c r="G6" s="37"/>
      <c r="H6" s="37"/>
    </row>
    <row r="7" spans="1:10" ht="12.75">
      <c r="A7" s="39" t="s">
        <v>27</v>
      </c>
      <c r="B7" s="40" t="s">
        <v>6</v>
      </c>
      <c r="C7" s="40"/>
      <c r="D7" s="40"/>
      <c r="E7" s="40" t="s">
        <v>7</v>
      </c>
      <c r="F7" s="40"/>
      <c r="G7" s="40"/>
      <c r="H7" s="45" t="s">
        <v>75</v>
      </c>
      <c r="I7" s="46"/>
      <c r="J7" s="46"/>
    </row>
    <row r="8" spans="1:10" ht="12.75">
      <c r="A8" s="41" t="s">
        <v>28</v>
      </c>
      <c r="B8" s="42" t="s">
        <v>2</v>
      </c>
      <c r="C8" s="42" t="s">
        <v>29</v>
      </c>
      <c r="D8" s="42" t="s">
        <v>4</v>
      </c>
      <c r="E8" s="42" t="s">
        <v>2</v>
      </c>
      <c r="F8" s="42" t="s">
        <v>29</v>
      </c>
      <c r="G8" s="42" t="s">
        <v>4</v>
      </c>
      <c r="H8" s="42" t="s">
        <v>2</v>
      </c>
      <c r="I8" s="42" t="s">
        <v>29</v>
      </c>
      <c r="J8" s="42" t="s">
        <v>4</v>
      </c>
    </row>
    <row r="9" spans="1:10" ht="12.75">
      <c r="A9" s="66"/>
      <c r="B9" s="67"/>
      <c r="C9" s="67"/>
      <c r="D9" s="68"/>
      <c r="E9" s="67"/>
      <c r="F9" s="67"/>
      <c r="G9" s="68"/>
      <c r="H9" s="67"/>
      <c r="I9" s="67"/>
      <c r="J9" s="67"/>
    </row>
    <row r="10" spans="1:10" ht="12.75">
      <c r="A10" s="27" t="s">
        <v>30</v>
      </c>
      <c r="B10" s="12">
        <f>243+264+432</f>
        <v>939</v>
      </c>
      <c r="C10" s="12">
        <f>215+160+126</f>
        <v>501</v>
      </c>
      <c r="D10" s="47">
        <f>B10-C10</f>
        <v>438</v>
      </c>
      <c r="E10" s="12">
        <f>360+193+158</f>
        <v>711</v>
      </c>
      <c r="F10" s="12">
        <f>183+101+78</f>
        <v>362</v>
      </c>
      <c r="G10" s="47">
        <f>E10-F10</f>
        <v>349</v>
      </c>
      <c r="H10" s="12">
        <f>B10-E10</f>
        <v>228</v>
      </c>
      <c r="I10" s="12">
        <f>C10-F10</f>
        <v>139</v>
      </c>
      <c r="J10" s="12">
        <f>D10-G10</f>
        <v>89</v>
      </c>
    </row>
    <row r="11" spans="1:10" ht="12.75">
      <c r="A11" s="27" t="s">
        <v>31</v>
      </c>
      <c r="B11" s="12">
        <f>415+230+216</f>
        <v>861</v>
      </c>
      <c r="C11" s="12">
        <f>191+111+102</f>
        <v>404</v>
      </c>
      <c r="D11" s="47">
        <f aca="true" t="shared" si="0" ref="D11:D38">B11-C11</f>
        <v>457</v>
      </c>
      <c r="E11" s="12">
        <f>334+274+227</f>
        <v>835</v>
      </c>
      <c r="F11" s="12">
        <f>185+151+126</f>
        <v>462</v>
      </c>
      <c r="G11" s="47">
        <f aca="true" t="shared" si="1" ref="G11:G38">E11-F11</f>
        <v>373</v>
      </c>
      <c r="H11" s="12">
        <f aca="true" t="shared" si="2" ref="H11:H38">B11-E11</f>
        <v>26</v>
      </c>
      <c r="I11" s="12">
        <f aca="true" t="shared" si="3" ref="I11:I38">C11-F11</f>
        <v>-58</v>
      </c>
      <c r="J11" s="3">
        <f aca="true" t="shared" si="4" ref="J11:J38">D11-G11</f>
        <v>84</v>
      </c>
    </row>
    <row r="12" spans="1:10" ht="12.75">
      <c r="A12" s="27" t="s">
        <v>32</v>
      </c>
      <c r="B12" s="12">
        <f>302+223+184</f>
        <v>709</v>
      </c>
      <c r="C12" s="12">
        <f>157+109+90</f>
        <v>356</v>
      </c>
      <c r="D12" s="47">
        <f t="shared" si="0"/>
        <v>353</v>
      </c>
      <c r="E12" s="12">
        <f>389+330+279</f>
        <v>998</v>
      </c>
      <c r="F12" s="12">
        <f>172+164+137</f>
        <v>473</v>
      </c>
      <c r="G12" s="47">
        <f t="shared" si="1"/>
        <v>525</v>
      </c>
      <c r="H12" s="12">
        <f t="shared" si="2"/>
        <v>-289</v>
      </c>
      <c r="I12" s="12">
        <f t="shared" si="3"/>
        <v>-117</v>
      </c>
      <c r="J12" s="12">
        <f t="shared" si="4"/>
        <v>-172</v>
      </c>
    </row>
    <row r="13" spans="1:10" ht="12.75">
      <c r="A13" s="27" t="s">
        <v>33</v>
      </c>
      <c r="B13" s="12">
        <f>166+71+80</f>
        <v>317</v>
      </c>
      <c r="C13" s="12">
        <f>95+32+36</f>
        <v>163</v>
      </c>
      <c r="D13" s="47">
        <f t="shared" si="0"/>
        <v>154</v>
      </c>
      <c r="E13" s="12">
        <f>73+67+47</f>
        <v>187</v>
      </c>
      <c r="F13" s="12">
        <f>38+46+26</f>
        <v>110</v>
      </c>
      <c r="G13" s="47">
        <f t="shared" si="1"/>
        <v>77</v>
      </c>
      <c r="H13" s="12">
        <f t="shared" si="2"/>
        <v>130</v>
      </c>
      <c r="I13" s="12">
        <f t="shared" si="3"/>
        <v>53</v>
      </c>
      <c r="J13" s="12">
        <f t="shared" si="4"/>
        <v>77</v>
      </c>
    </row>
    <row r="14" spans="1:10" ht="12.75">
      <c r="A14" s="27" t="s">
        <v>34</v>
      </c>
      <c r="B14" s="12">
        <f>183+136+122</f>
        <v>441</v>
      </c>
      <c r="C14" s="12">
        <f>84+71+64</f>
        <v>219</v>
      </c>
      <c r="D14" s="47">
        <f t="shared" si="0"/>
        <v>222</v>
      </c>
      <c r="E14" s="12">
        <f>126+109+99</f>
        <v>334</v>
      </c>
      <c r="F14" s="12">
        <f>62+49+44</f>
        <v>155</v>
      </c>
      <c r="G14" s="47">
        <f t="shared" si="1"/>
        <v>179</v>
      </c>
      <c r="H14" s="12">
        <f t="shared" si="2"/>
        <v>107</v>
      </c>
      <c r="I14" s="12">
        <f t="shared" si="3"/>
        <v>64</v>
      </c>
      <c r="J14" s="12">
        <f t="shared" si="4"/>
        <v>43</v>
      </c>
    </row>
    <row r="15" spans="1:10" ht="12.75">
      <c r="A15" s="27" t="s">
        <v>36</v>
      </c>
      <c r="B15" s="12">
        <f>316+203+224</f>
        <v>743</v>
      </c>
      <c r="C15" s="12">
        <f>146+100+109</f>
        <v>355</v>
      </c>
      <c r="D15" s="47">
        <f t="shared" si="0"/>
        <v>388</v>
      </c>
      <c r="E15" s="12">
        <f>219+164+124</f>
        <v>507</v>
      </c>
      <c r="F15" s="12">
        <f>123+81+67</f>
        <v>271</v>
      </c>
      <c r="G15" s="47">
        <f t="shared" si="1"/>
        <v>236</v>
      </c>
      <c r="H15" s="12">
        <f t="shared" si="2"/>
        <v>236</v>
      </c>
      <c r="I15" s="12">
        <f t="shared" si="3"/>
        <v>84</v>
      </c>
      <c r="J15" s="12">
        <f t="shared" si="4"/>
        <v>152</v>
      </c>
    </row>
    <row r="16" spans="1:10" ht="12.75">
      <c r="A16" s="27" t="s">
        <v>37</v>
      </c>
      <c r="B16" s="12">
        <f>397+297+258</f>
        <v>952</v>
      </c>
      <c r="C16" s="12">
        <f>227+166+155</f>
        <v>548</v>
      </c>
      <c r="D16" s="47">
        <f t="shared" si="0"/>
        <v>404</v>
      </c>
      <c r="E16" s="12">
        <f>247+169+160</f>
        <v>576</v>
      </c>
      <c r="F16" s="12">
        <f>125+96+89</f>
        <v>310</v>
      </c>
      <c r="G16" s="47">
        <f t="shared" si="1"/>
        <v>266</v>
      </c>
      <c r="H16" s="12">
        <f t="shared" si="2"/>
        <v>376</v>
      </c>
      <c r="I16" s="12">
        <f t="shared" si="3"/>
        <v>238</v>
      </c>
      <c r="J16" s="12">
        <f t="shared" si="4"/>
        <v>138</v>
      </c>
    </row>
    <row r="17" spans="1:10" ht="12.75">
      <c r="A17" s="27" t="s">
        <v>38</v>
      </c>
      <c r="B17" s="12">
        <f>1398+1052+895</f>
        <v>3345</v>
      </c>
      <c r="C17" s="12">
        <f>687+535+437</f>
        <v>1659</v>
      </c>
      <c r="D17" s="47">
        <f t="shared" si="0"/>
        <v>1686</v>
      </c>
      <c r="E17" s="12">
        <f>1254+958+1030</f>
        <v>3242</v>
      </c>
      <c r="F17" s="12">
        <f>618+477+516</f>
        <v>1611</v>
      </c>
      <c r="G17" s="47">
        <f t="shared" si="1"/>
        <v>1631</v>
      </c>
      <c r="H17" s="12">
        <f t="shared" si="2"/>
        <v>103</v>
      </c>
      <c r="I17" s="12">
        <f t="shared" si="3"/>
        <v>48</v>
      </c>
      <c r="J17" s="12">
        <f t="shared" si="4"/>
        <v>55</v>
      </c>
    </row>
    <row r="18" spans="1:10" ht="12.75">
      <c r="A18" s="27" t="s">
        <v>39</v>
      </c>
      <c r="B18" s="12">
        <f>866+568+492</f>
        <v>1926</v>
      </c>
      <c r="C18" s="12">
        <f>427+286+238</f>
        <v>951</v>
      </c>
      <c r="D18" s="47">
        <f t="shared" si="0"/>
        <v>975</v>
      </c>
      <c r="E18" s="12">
        <f>497+403+380</f>
        <v>1280</v>
      </c>
      <c r="F18" s="12">
        <f>253+194+208</f>
        <v>655</v>
      </c>
      <c r="G18" s="47">
        <f t="shared" si="1"/>
        <v>625</v>
      </c>
      <c r="H18" s="12">
        <f t="shared" si="2"/>
        <v>646</v>
      </c>
      <c r="I18" s="12">
        <f t="shared" si="3"/>
        <v>296</v>
      </c>
      <c r="J18" s="12">
        <f t="shared" si="4"/>
        <v>350</v>
      </c>
    </row>
    <row r="19" spans="1:10" ht="12.75">
      <c r="A19" s="27" t="s">
        <v>40</v>
      </c>
      <c r="B19" s="12">
        <f>108+65+52</f>
        <v>225</v>
      </c>
      <c r="C19" s="12">
        <f>54+38+25</f>
        <v>117</v>
      </c>
      <c r="D19" s="47">
        <f t="shared" si="0"/>
        <v>108</v>
      </c>
      <c r="E19" s="12">
        <f>75+47+55</f>
        <v>177</v>
      </c>
      <c r="F19" s="12">
        <f>36+20+28</f>
        <v>84</v>
      </c>
      <c r="G19" s="47">
        <f t="shared" si="1"/>
        <v>93</v>
      </c>
      <c r="H19" s="12">
        <f t="shared" si="2"/>
        <v>48</v>
      </c>
      <c r="I19" s="12">
        <f t="shared" si="3"/>
        <v>33</v>
      </c>
      <c r="J19" s="12">
        <f t="shared" si="4"/>
        <v>15</v>
      </c>
    </row>
    <row r="20" spans="1:10" ht="12.75">
      <c r="A20" s="27" t="s">
        <v>41</v>
      </c>
      <c r="B20" s="12">
        <f>29+13+13</f>
        <v>55</v>
      </c>
      <c r="C20" s="12">
        <f>8+7+7</f>
        <v>22</v>
      </c>
      <c r="D20" s="47">
        <f t="shared" si="0"/>
        <v>33</v>
      </c>
      <c r="E20" s="12">
        <f>20+10+12</f>
        <v>42</v>
      </c>
      <c r="F20" s="12">
        <f>9+5+8</f>
        <v>22</v>
      </c>
      <c r="G20" s="47">
        <f t="shared" si="1"/>
        <v>20</v>
      </c>
      <c r="H20" s="12">
        <f t="shared" si="2"/>
        <v>13</v>
      </c>
      <c r="I20" s="3">
        <v>0</v>
      </c>
      <c r="J20" s="12">
        <f t="shared" si="4"/>
        <v>13</v>
      </c>
    </row>
    <row r="21" spans="1:10" ht="12.75">
      <c r="A21" s="48" t="s">
        <v>42</v>
      </c>
      <c r="B21" s="12">
        <f>181+93+85</f>
        <v>359</v>
      </c>
      <c r="C21" s="12">
        <f>94+43+43</f>
        <v>180</v>
      </c>
      <c r="D21" s="47">
        <f t="shared" si="0"/>
        <v>179</v>
      </c>
      <c r="E21" s="12">
        <f>120+65+65</f>
        <v>250</v>
      </c>
      <c r="F21" s="12">
        <f>52+35+40</f>
        <v>127</v>
      </c>
      <c r="G21" s="47">
        <f t="shared" si="1"/>
        <v>123</v>
      </c>
      <c r="H21" s="12">
        <f t="shared" si="2"/>
        <v>109</v>
      </c>
      <c r="I21" s="12">
        <f t="shared" si="3"/>
        <v>53</v>
      </c>
      <c r="J21" s="12">
        <f t="shared" si="4"/>
        <v>56</v>
      </c>
    </row>
    <row r="22" spans="1:10" ht="12.75">
      <c r="A22" s="27" t="s">
        <v>43</v>
      </c>
      <c r="B22" s="12">
        <f>125+75+51</f>
        <v>251</v>
      </c>
      <c r="C22" s="12">
        <f>69+36+27</f>
        <v>132</v>
      </c>
      <c r="D22" s="47">
        <f t="shared" si="0"/>
        <v>119</v>
      </c>
      <c r="E22" s="12">
        <f>77+45+49</f>
        <v>171</v>
      </c>
      <c r="F22" s="12">
        <f>44+23+22</f>
        <v>89</v>
      </c>
      <c r="G22" s="47">
        <f t="shared" si="1"/>
        <v>82</v>
      </c>
      <c r="H22" s="12">
        <f t="shared" si="2"/>
        <v>80</v>
      </c>
      <c r="I22" s="12">
        <f t="shared" si="3"/>
        <v>43</v>
      </c>
      <c r="J22" s="12">
        <f t="shared" si="4"/>
        <v>37</v>
      </c>
    </row>
    <row r="23" spans="1:10" ht="12.75">
      <c r="A23" s="27" t="s">
        <v>25</v>
      </c>
      <c r="B23" s="12">
        <f>1662+1333+1371</f>
        <v>4366</v>
      </c>
      <c r="C23" s="12">
        <f>812+671+687</f>
        <v>2170</v>
      </c>
      <c r="D23" s="47">
        <f t="shared" si="0"/>
        <v>2196</v>
      </c>
      <c r="E23" s="12">
        <f>1936+2032+2081</f>
        <v>6049</v>
      </c>
      <c r="F23" s="12">
        <f>940+959+1072</f>
        <v>2971</v>
      </c>
      <c r="G23" s="47">
        <f t="shared" si="1"/>
        <v>3078</v>
      </c>
      <c r="H23" s="56">
        <f t="shared" si="2"/>
        <v>-1683</v>
      </c>
      <c r="I23" s="12">
        <f t="shared" si="3"/>
        <v>-801</v>
      </c>
      <c r="J23" s="12">
        <f t="shared" si="4"/>
        <v>-882</v>
      </c>
    </row>
    <row r="24" spans="1:10" ht="12.75">
      <c r="A24" s="27" t="s">
        <v>44</v>
      </c>
      <c r="B24" s="12">
        <f>84+44+40</f>
        <v>168</v>
      </c>
      <c r="C24" s="12">
        <f>51+27+23</f>
        <v>101</v>
      </c>
      <c r="D24" s="47">
        <f t="shared" si="0"/>
        <v>67</v>
      </c>
      <c r="E24" s="12">
        <f>52+41+31</f>
        <v>124</v>
      </c>
      <c r="F24" s="12">
        <f>22+21+21</f>
        <v>64</v>
      </c>
      <c r="G24" s="47">
        <f t="shared" si="1"/>
        <v>60</v>
      </c>
      <c r="H24" s="12">
        <f t="shared" si="2"/>
        <v>44</v>
      </c>
      <c r="I24" s="12">
        <f t="shared" si="3"/>
        <v>37</v>
      </c>
      <c r="J24" s="12">
        <f t="shared" si="4"/>
        <v>7</v>
      </c>
    </row>
    <row r="25" spans="1:10" ht="12.75">
      <c r="A25" s="27"/>
      <c r="B25" s="12"/>
      <c r="C25" s="12"/>
      <c r="D25" s="47"/>
      <c r="E25" s="12"/>
      <c r="F25" s="12"/>
      <c r="G25" s="47"/>
      <c r="H25" s="12"/>
      <c r="I25" s="12"/>
      <c r="J25" s="12"/>
    </row>
    <row r="26" spans="1:10" ht="12.75">
      <c r="A26" s="27" t="s">
        <v>101</v>
      </c>
      <c r="B26" s="12">
        <f>SUM(B10:B24)</f>
        <v>15657</v>
      </c>
      <c r="C26" s="12">
        <f>SUM(C10:C24)</f>
        <v>7878</v>
      </c>
      <c r="D26" s="47">
        <f t="shared" si="0"/>
        <v>7779</v>
      </c>
      <c r="E26" s="12">
        <f>SUM(E10:E24)</f>
        <v>15483</v>
      </c>
      <c r="F26" s="12">
        <f>SUM(F10:F24)</f>
        <v>7766</v>
      </c>
      <c r="G26" s="47">
        <f t="shared" si="1"/>
        <v>7717</v>
      </c>
      <c r="H26" s="12">
        <f t="shared" si="2"/>
        <v>174</v>
      </c>
      <c r="I26" s="12">
        <f t="shared" si="3"/>
        <v>112</v>
      </c>
      <c r="J26" s="12">
        <f t="shared" si="4"/>
        <v>62</v>
      </c>
    </row>
    <row r="27" spans="1:10" ht="12.75">
      <c r="A27" s="27"/>
      <c r="B27" s="12"/>
      <c r="C27" s="12"/>
      <c r="D27" s="47"/>
      <c r="E27" s="12"/>
      <c r="F27" s="12"/>
      <c r="G27" s="47"/>
      <c r="H27" s="12"/>
      <c r="I27" s="12"/>
      <c r="J27" s="12"/>
    </row>
    <row r="28" spans="1:10" ht="12.75">
      <c r="A28" s="27" t="s">
        <v>70</v>
      </c>
      <c r="B28" s="12">
        <f>1839+2625+2819</f>
        <v>7283</v>
      </c>
      <c r="C28" s="12">
        <f>1091+1790+1684</f>
        <v>4565</v>
      </c>
      <c r="D28" s="47">
        <f t="shared" si="0"/>
        <v>2718</v>
      </c>
      <c r="E28" s="12">
        <f>1757+1818+1429</f>
        <v>5004</v>
      </c>
      <c r="F28" s="12">
        <f>1192+1272+883</f>
        <v>3347</v>
      </c>
      <c r="G28" s="47">
        <f t="shared" si="1"/>
        <v>1657</v>
      </c>
      <c r="H28" s="12">
        <f t="shared" si="2"/>
        <v>2279</v>
      </c>
      <c r="I28" s="12">
        <f t="shared" si="3"/>
        <v>1218</v>
      </c>
      <c r="J28" s="12">
        <f t="shared" si="4"/>
        <v>1061</v>
      </c>
    </row>
    <row r="29" spans="1:10" ht="12.75">
      <c r="A29" s="27"/>
      <c r="B29" s="12"/>
      <c r="C29" s="12"/>
      <c r="D29" s="47"/>
      <c r="E29" s="12"/>
      <c r="F29" s="12"/>
      <c r="G29" s="47"/>
      <c r="H29" s="12"/>
      <c r="I29" s="12"/>
      <c r="J29" s="12"/>
    </row>
    <row r="30" spans="1:10" ht="12.75">
      <c r="A30" s="49" t="s">
        <v>71</v>
      </c>
      <c r="B30" s="30">
        <f aca="true" t="shared" si="5" ref="B30:G30">B26+B28</f>
        <v>22940</v>
      </c>
      <c r="C30" s="30">
        <f t="shared" si="5"/>
        <v>12443</v>
      </c>
      <c r="D30" s="50">
        <f t="shared" si="5"/>
        <v>10497</v>
      </c>
      <c r="E30" s="30">
        <f t="shared" si="5"/>
        <v>20487</v>
      </c>
      <c r="F30" s="30">
        <f t="shared" si="5"/>
        <v>11113</v>
      </c>
      <c r="G30" s="50">
        <f t="shared" si="5"/>
        <v>9374</v>
      </c>
      <c r="H30" s="55">
        <f t="shared" si="2"/>
        <v>2453</v>
      </c>
      <c r="I30" s="55">
        <f t="shared" si="3"/>
        <v>1330</v>
      </c>
      <c r="J30" s="55">
        <f t="shared" si="4"/>
        <v>1123</v>
      </c>
    </row>
    <row r="31" spans="1:10" ht="12.75">
      <c r="A31" s="49"/>
      <c r="B31" s="30"/>
      <c r="C31" s="30"/>
      <c r="D31" s="50"/>
      <c r="E31" s="30"/>
      <c r="F31" s="30"/>
      <c r="G31" s="50"/>
      <c r="H31" s="55"/>
      <c r="I31" s="55"/>
      <c r="J31" s="55"/>
    </row>
    <row r="32" spans="1:10" ht="12.75">
      <c r="A32" s="48" t="s">
        <v>72</v>
      </c>
      <c r="B32" s="16"/>
      <c r="C32" s="16"/>
      <c r="D32" s="47">
        <f t="shared" si="0"/>
        <v>0</v>
      </c>
      <c r="E32" s="16"/>
      <c r="F32" s="16"/>
      <c r="G32" s="47">
        <f t="shared" si="1"/>
        <v>0</v>
      </c>
      <c r="H32" s="12">
        <f t="shared" si="2"/>
        <v>0</v>
      </c>
      <c r="I32" s="12">
        <f t="shared" si="3"/>
        <v>0</v>
      </c>
      <c r="J32" s="12">
        <f t="shared" si="4"/>
        <v>0</v>
      </c>
    </row>
    <row r="33" spans="1:10" ht="12.75">
      <c r="A33" s="48" t="s">
        <v>73</v>
      </c>
      <c r="B33" s="16">
        <f>162+148+132</f>
        <v>442</v>
      </c>
      <c r="C33" s="16">
        <f>78+77+62</f>
        <v>217</v>
      </c>
      <c r="D33" s="47">
        <f t="shared" si="0"/>
        <v>225</v>
      </c>
      <c r="E33" s="16">
        <f>162+294+259</f>
        <v>715</v>
      </c>
      <c r="F33" s="16">
        <f>78+132+137</f>
        <v>347</v>
      </c>
      <c r="G33" s="47">
        <f t="shared" si="1"/>
        <v>368</v>
      </c>
      <c r="H33" s="12">
        <f t="shared" si="2"/>
        <v>-273</v>
      </c>
      <c r="I33" s="12">
        <f t="shared" si="3"/>
        <v>-130</v>
      </c>
      <c r="J33" s="12">
        <f t="shared" si="4"/>
        <v>-143</v>
      </c>
    </row>
    <row r="34" spans="1:10" ht="12.75">
      <c r="A34" s="48" t="s">
        <v>18</v>
      </c>
      <c r="B34" s="16">
        <f>305+284+303</f>
        <v>892</v>
      </c>
      <c r="C34" s="16">
        <f>140+150+154</f>
        <v>444</v>
      </c>
      <c r="D34" s="47">
        <f t="shared" si="0"/>
        <v>448</v>
      </c>
      <c r="E34" s="16">
        <f>520+559+475</f>
        <v>1554</v>
      </c>
      <c r="F34" s="16">
        <f>257+263+255</f>
        <v>775</v>
      </c>
      <c r="G34" s="47">
        <f t="shared" si="1"/>
        <v>779</v>
      </c>
      <c r="H34" s="12">
        <f t="shared" si="2"/>
        <v>-662</v>
      </c>
      <c r="I34" s="12">
        <f t="shared" si="3"/>
        <v>-331</v>
      </c>
      <c r="J34" s="12">
        <f t="shared" si="4"/>
        <v>-331</v>
      </c>
    </row>
    <row r="35" spans="1:10" ht="12.75">
      <c r="A35" s="48" t="s">
        <v>22</v>
      </c>
      <c r="B35" s="16">
        <f>238+178+213</f>
        <v>629</v>
      </c>
      <c r="C35" s="16">
        <f>122+97+110</f>
        <v>329</v>
      </c>
      <c r="D35" s="47">
        <f t="shared" si="0"/>
        <v>300</v>
      </c>
      <c r="E35" s="16">
        <f>353+360+339</f>
        <v>1052</v>
      </c>
      <c r="F35" s="16">
        <f>175+167+176</f>
        <v>518</v>
      </c>
      <c r="G35" s="47">
        <f t="shared" si="1"/>
        <v>534</v>
      </c>
      <c r="H35" s="12">
        <f t="shared" si="2"/>
        <v>-423</v>
      </c>
      <c r="I35" s="12">
        <f t="shared" si="3"/>
        <v>-189</v>
      </c>
      <c r="J35" s="12">
        <f t="shared" si="4"/>
        <v>-234</v>
      </c>
    </row>
    <row r="36" spans="1:10" ht="12.75">
      <c r="A36" s="48" t="s">
        <v>24</v>
      </c>
      <c r="B36" s="16">
        <f>270+214+241</f>
        <v>725</v>
      </c>
      <c r="C36" s="16">
        <f>131+96+119</f>
        <v>346</v>
      </c>
      <c r="D36" s="47">
        <f t="shared" si="0"/>
        <v>379</v>
      </c>
      <c r="E36" s="16">
        <f>372+380+552</f>
        <v>1304</v>
      </c>
      <c r="F36" s="16">
        <f>185+178+276</f>
        <v>639</v>
      </c>
      <c r="G36" s="47">
        <f t="shared" si="1"/>
        <v>665</v>
      </c>
      <c r="H36" s="12">
        <f t="shared" si="2"/>
        <v>-579</v>
      </c>
      <c r="I36" s="12">
        <f t="shared" si="3"/>
        <v>-293</v>
      </c>
      <c r="J36" s="12">
        <f t="shared" si="4"/>
        <v>-286</v>
      </c>
    </row>
    <row r="37" spans="1:10" ht="12.75">
      <c r="A37" s="48" t="s">
        <v>74</v>
      </c>
      <c r="B37" s="16">
        <f>230+243+225</f>
        <v>698</v>
      </c>
      <c r="C37" s="16">
        <f>120+130+114</f>
        <v>364</v>
      </c>
      <c r="D37" s="47">
        <f t="shared" si="0"/>
        <v>334</v>
      </c>
      <c r="E37" s="16">
        <f>346+390+404</f>
        <v>1140</v>
      </c>
      <c r="F37" s="16">
        <f>167+194+202</f>
        <v>563</v>
      </c>
      <c r="G37" s="47">
        <f t="shared" si="1"/>
        <v>577</v>
      </c>
      <c r="H37" s="12">
        <f t="shared" si="2"/>
        <v>-442</v>
      </c>
      <c r="I37" s="12">
        <f t="shared" si="3"/>
        <v>-199</v>
      </c>
      <c r="J37" s="12">
        <f t="shared" si="4"/>
        <v>-243</v>
      </c>
    </row>
    <row r="38" spans="1:10" ht="12.75">
      <c r="A38" s="48" t="s">
        <v>46</v>
      </c>
      <c r="B38" s="16">
        <f>99+104+68</f>
        <v>271</v>
      </c>
      <c r="C38" s="16">
        <f>53+48+31</f>
        <v>132</v>
      </c>
      <c r="D38" s="47">
        <f t="shared" si="0"/>
        <v>139</v>
      </c>
      <c r="E38" s="16">
        <f>130+102+92</f>
        <v>324</v>
      </c>
      <c r="F38" s="16">
        <f>55+51+47</f>
        <v>153</v>
      </c>
      <c r="G38" s="47">
        <f t="shared" si="1"/>
        <v>171</v>
      </c>
      <c r="H38" s="12">
        <f t="shared" si="2"/>
        <v>-53</v>
      </c>
      <c r="I38" s="12">
        <f t="shared" si="3"/>
        <v>-21</v>
      </c>
      <c r="J38" s="12">
        <f t="shared" si="4"/>
        <v>-32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21.8515625" style="3" customWidth="1"/>
    <col min="2" max="2" width="10.421875" style="3" customWidth="1"/>
    <col min="3" max="3" width="9.8515625" style="3" customWidth="1"/>
    <col min="4" max="4" width="8.8515625" style="3" customWidth="1"/>
    <col min="5" max="6" width="9.421875" style="3" customWidth="1"/>
    <col min="7" max="7" width="7.57421875" style="3" customWidth="1"/>
    <col min="8" max="8" width="9.8515625" style="3" customWidth="1"/>
    <col min="9" max="9" width="9.00390625" style="3" customWidth="1"/>
    <col min="10" max="16384" width="11.421875" style="3" customWidth="1"/>
  </cols>
  <sheetData>
    <row r="1" spans="1:8" ht="12.75">
      <c r="A1" s="2" t="s">
        <v>110</v>
      </c>
      <c r="B1" s="35"/>
      <c r="C1" s="35"/>
      <c r="D1" s="35"/>
      <c r="E1" s="35"/>
      <c r="F1" s="35"/>
      <c r="G1" s="35"/>
      <c r="H1" s="35"/>
    </row>
    <row r="2" spans="1:8" ht="12.75">
      <c r="A2" s="35"/>
      <c r="B2" s="35"/>
      <c r="C2" s="35"/>
      <c r="D2" s="35"/>
      <c r="E2" s="35"/>
      <c r="F2" s="35"/>
      <c r="G2" s="35"/>
      <c r="H2" s="35"/>
    </row>
    <row r="3" spans="1:10" ht="12.75">
      <c r="A3" s="69" t="s">
        <v>113</v>
      </c>
      <c r="B3" s="37"/>
      <c r="C3" s="37"/>
      <c r="D3" s="37"/>
      <c r="E3" s="37"/>
      <c r="F3" s="37"/>
      <c r="G3" s="37"/>
      <c r="H3" s="37"/>
      <c r="I3" s="43"/>
      <c r="J3" s="43"/>
    </row>
    <row r="4" spans="1:10" ht="12.75">
      <c r="A4" s="44" t="s">
        <v>26</v>
      </c>
      <c r="B4" s="37"/>
      <c r="C4" s="37"/>
      <c r="D4" s="37"/>
      <c r="E4" s="37"/>
      <c r="F4" s="37"/>
      <c r="G4" s="37"/>
      <c r="H4" s="37"/>
      <c r="I4" s="43"/>
      <c r="J4" s="43"/>
    </row>
    <row r="5" spans="1:10" ht="12.75">
      <c r="A5" s="36" t="s">
        <v>25</v>
      </c>
      <c r="B5" s="37"/>
      <c r="C5" s="37"/>
      <c r="D5" s="37"/>
      <c r="E5" s="37"/>
      <c r="F5" s="37"/>
      <c r="G5" s="37"/>
      <c r="H5" s="37"/>
      <c r="I5" s="43"/>
      <c r="J5" s="43"/>
    </row>
    <row r="6" spans="1:8" ht="12.75">
      <c r="A6" s="38"/>
      <c r="B6" s="37"/>
      <c r="F6" s="37"/>
      <c r="G6" s="37"/>
      <c r="H6" s="37"/>
    </row>
    <row r="7" spans="1:10" ht="25.5">
      <c r="A7" s="39" t="s">
        <v>27</v>
      </c>
      <c r="B7" s="40" t="s">
        <v>6</v>
      </c>
      <c r="C7" s="40"/>
      <c r="D7" s="40"/>
      <c r="E7" s="40" t="s">
        <v>7</v>
      </c>
      <c r="F7" s="40"/>
      <c r="G7" s="40"/>
      <c r="H7" s="45" t="s">
        <v>75</v>
      </c>
      <c r="I7" s="46"/>
      <c r="J7" s="46"/>
    </row>
    <row r="8" spans="1:10" ht="12.75">
      <c r="A8" s="41" t="s">
        <v>28</v>
      </c>
      <c r="B8" s="42" t="s">
        <v>2</v>
      </c>
      <c r="C8" s="42" t="s">
        <v>29</v>
      </c>
      <c r="D8" s="42" t="s">
        <v>4</v>
      </c>
      <c r="E8" s="42" t="s">
        <v>2</v>
      </c>
      <c r="F8" s="42" t="s">
        <v>29</v>
      </c>
      <c r="G8" s="42" t="s">
        <v>4</v>
      </c>
      <c r="H8" s="42" t="s">
        <v>2</v>
      </c>
      <c r="I8" s="42" t="s">
        <v>29</v>
      </c>
      <c r="J8" s="42" t="s">
        <v>4</v>
      </c>
    </row>
    <row r="9" spans="1:10" ht="12.75">
      <c r="A9" s="66"/>
      <c r="B9" s="67"/>
      <c r="C9" s="67"/>
      <c r="D9" s="68"/>
      <c r="E9" s="67"/>
      <c r="F9" s="67"/>
      <c r="G9" s="68"/>
      <c r="H9" s="67"/>
      <c r="I9" s="67"/>
      <c r="J9" s="67"/>
    </row>
    <row r="10" spans="1:10" ht="12.75">
      <c r="A10" s="27" t="s">
        <v>30</v>
      </c>
      <c r="B10" s="12">
        <f>180+219+284</f>
        <v>683</v>
      </c>
      <c r="C10" s="12">
        <f>96+107+135</f>
        <v>338</v>
      </c>
      <c r="D10" s="47">
        <f>B10-C10</f>
        <v>345</v>
      </c>
      <c r="E10" s="12">
        <f>167+210+326</f>
        <v>703</v>
      </c>
      <c r="F10" s="12">
        <f>91+109+172</f>
        <v>372</v>
      </c>
      <c r="G10" s="47">
        <f>E10-F10</f>
        <v>331</v>
      </c>
      <c r="H10" s="28">
        <f>B10-E10</f>
        <v>-20</v>
      </c>
      <c r="I10" s="28">
        <f>C10-F10</f>
        <v>-34</v>
      </c>
      <c r="J10" s="28">
        <f>D10-G10</f>
        <v>14</v>
      </c>
    </row>
    <row r="11" spans="1:10" ht="12.75">
      <c r="A11" s="27" t="s">
        <v>31</v>
      </c>
      <c r="B11" s="12">
        <f>176+219+314</f>
        <v>709</v>
      </c>
      <c r="C11" s="12">
        <f>93+108+148</f>
        <v>349</v>
      </c>
      <c r="D11" s="47">
        <f aca="true" t="shared" si="0" ref="D11:D28">B11-C11</f>
        <v>360</v>
      </c>
      <c r="E11" s="12">
        <f>209+248+440</f>
        <v>897</v>
      </c>
      <c r="F11" s="12">
        <f>115+132+244</f>
        <v>491</v>
      </c>
      <c r="G11" s="47">
        <f aca="true" t="shared" si="1" ref="G11:G28">E11-F11</f>
        <v>406</v>
      </c>
      <c r="H11" s="28">
        <f aca="true" t="shared" si="2" ref="H11:H24">B11-E11</f>
        <v>-188</v>
      </c>
      <c r="I11" s="28">
        <f aca="true" t="shared" si="3" ref="I11:I26">C11-F11</f>
        <v>-142</v>
      </c>
      <c r="J11" s="28">
        <f aca="true" t="shared" si="4" ref="J11:J26">D11-G11</f>
        <v>-46</v>
      </c>
    </row>
    <row r="12" spans="1:10" ht="12.75">
      <c r="A12" s="27" t="s">
        <v>32</v>
      </c>
      <c r="B12" s="12">
        <f>191+187+269</f>
        <v>647</v>
      </c>
      <c r="C12" s="12">
        <f>95+94+127</f>
        <v>316</v>
      </c>
      <c r="D12" s="47">
        <f t="shared" si="0"/>
        <v>331</v>
      </c>
      <c r="E12" s="12">
        <f>218+239+312</f>
        <v>769</v>
      </c>
      <c r="F12" s="12">
        <f>112+120+144</f>
        <v>376</v>
      </c>
      <c r="G12" s="47">
        <f t="shared" si="1"/>
        <v>393</v>
      </c>
      <c r="H12" s="28">
        <f t="shared" si="2"/>
        <v>-122</v>
      </c>
      <c r="I12" s="28">
        <f t="shared" si="3"/>
        <v>-60</v>
      </c>
      <c r="J12" s="28">
        <f t="shared" si="4"/>
        <v>-62</v>
      </c>
    </row>
    <row r="13" spans="1:10" ht="12.75">
      <c r="A13" s="27" t="s">
        <v>33</v>
      </c>
      <c r="B13" s="12">
        <f>125+115+135</f>
        <v>375</v>
      </c>
      <c r="C13" s="12">
        <f>77+54+62</f>
        <v>193</v>
      </c>
      <c r="D13" s="47">
        <f t="shared" si="0"/>
        <v>182</v>
      </c>
      <c r="E13" s="12">
        <f>78+88+129</f>
        <v>295</v>
      </c>
      <c r="F13" s="12">
        <f>39+48+65</f>
        <v>152</v>
      </c>
      <c r="G13" s="47">
        <f t="shared" si="1"/>
        <v>143</v>
      </c>
      <c r="H13" s="28">
        <f t="shared" si="2"/>
        <v>80</v>
      </c>
      <c r="I13" s="28">
        <f t="shared" si="3"/>
        <v>41</v>
      </c>
      <c r="J13" s="28">
        <f t="shared" si="4"/>
        <v>39</v>
      </c>
    </row>
    <row r="14" spans="1:10" ht="12.75">
      <c r="A14" s="27" t="s">
        <v>34</v>
      </c>
      <c r="B14" s="12">
        <f>63+77+106</f>
        <v>246</v>
      </c>
      <c r="C14" s="12">
        <f>30+49+53</f>
        <v>132</v>
      </c>
      <c r="D14" s="47">
        <f t="shared" si="0"/>
        <v>114</v>
      </c>
      <c r="E14" s="12">
        <f>91+118+152</f>
        <v>361</v>
      </c>
      <c r="F14" s="12">
        <f>52+58+74</f>
        <v>184</v>
      </c>
      <c r="G14" s="47">
        <f t="shared" si="1"/>
        <v>177</v>
      </c>
      <c r="H14" s="28">
        <f t="shared" si="2"/>
        <v>-115</v>
      </c>
      <c r="I14" s="28">
        <f t="shared" si="3"/>
        <v>-52</v>
      </c>
      <c r="J14" s="28">
        <f t="shared" si="4"/>
        <v>-63</v>
      </c>
    </row>
    <row r="15" spans="1:10" ht="12.75">
      <c r="A15" s="27" t="s">
        <v>35</v>
      </c>
      <c r="B15" s="12">
        <f>2081+2032+1936</f>
        <v>6049</v>
      </c>
      <c r="C15" s="12">
        <f>1072+959+940</f>
        <v>2971</v>
      </c>
      <c r="D15" s="47">
        <f t="shared" si="0"/>
        <v>3078</v>
      </c>
      <c r="E15" s="12">
        <f>1371+1333+1662</f>
        <v>4366</v>
      </c>
      <c r="F15" s="12">
        <f>687+671+812</f>
        <v>2170</v>
      </c>
      <c r="G15" s="47">
        <f t="shared" si="1"/>
        <v>2196</v>
      </c>
      <c r="H15" s="28">
        <f t="shared" si="2"/>
        <v>1683</v>
      </c>
      <c r="I15" s="28">
        <f t="shared" si="3"/>
        <v>801</v>
      </c>
      <c r="J15" s="28">
        <f t="shared" si="4"/>
        <v>882</v>
      </c>
    </row>
    <row r="16" spans="1:10" ht="12.75">
      <c r="A16" s="27" t="s">
        <v>36</v>
      </c>
      <c r="B16" s="12">
        <f>174+153+228</f>
        <v>555</v>
      </c>
      <c r="C16" s="12">
        <f>84+78+108</f>
        <v>270</v>
      </c>
      <c r="D16" s="47">
        <f t="shared" si="0"/>
        <v>285</v>
      </c>
      <c r="E16" s="12">
        <f>164+165+296</f>
        <v>625</v>
      </c>
      <c r="F16" s="12">
        <f>78+83+132</f>
        <v>293</v>
      </c>
      <c r="G16" s="47">
        <f t="shared" si="1"/>
        <v>332</v>
      </c>
      <c r="H16" s="28">
        <f t="shared" si="2"/>
        <v>-70</v>
      </c>
      <c r="I16" s="28">
        <f t="shared" si="3"/>
        <v>-23</v>
      </c>
      <c r="J16" s="28">
        <f t="shared" si="4"/>
        <v>-47</v>
      </c>
    </row>
    <row r="17" spans="1:10" ht="13.5" customHeight="1">
      <c r="A17" s="27" t="s">
        <v>37</v>
      </c>
      <c r="B17" s="12">
        <f>331+432+440</f>
        <v>1203</v>
      </c>
      <c r="C17" s="12">
        <f>182+221+205</f>
        <v>608</v>
      </c>
      <c r="D17" s="47">
        <f t="shared" si="0"/>
        <v>595</v>
      </c>
      <c r="E17" s="12">
        <f>302+332+475</f>
        <v>1109</v>
      </c>
      <c r="F17" s="12">
        <f>148+184+235</f>
        <v>567</v>
      </c>
      <c r="G17" s="47">
        <f t="shared" si="1"/>
        <v>542</v>
      </c>
      <c r="H17" s="28">
        <f t="shared" si="2"/>
        <v>94</v>
      </c>
      <c r="I17" s="28">
        <f t="shared" si="3"/>
        <v>41</v>
      </c>
      <c r="J17" s="28">
        <f t="shared" si="4"/>
        <v>53</v>
      </c>
    </row>
    <row r="18" spans="1:10" ht="12.75">
      <c r="A18" s="27" t="s">
        <v>38</v>
      </c>
      <c r="B18" s="12">
        <f>684+798+1078</f>
        <v>2560</v>
      </c>
      <c r="C18" s="12">
        <f>346+386+491</f>
        <v>1223</v>
      </c>
      <c r="D18" s="47">
        <f t="shared" si="0"/>
        <v>1337</v>
      </c>
      <c r="E18" s="12">
        <f>606+722+1043</f>
        <v>2371</v>
      </c>
      <c r="F18" s="12">
        <f>309+350+501</f>
        <v>1160</v>
      </c>
      <c r="G18" s="47">
        <f t="shared" si="1"/>
        <v>1211</v>
      </c>
      <c r="H18" s="28">
        <f t="shared" si="2"/>
        <v>189</v>
      </c>
      <c r="I18" s="28">
        <f t="shared" si="3"/>
        <v>63</v>
      </c>
      <c r="J18" s="28">
        <f t="shared" si="4"/>
        <v>126</v>
      </c>
    </row>
    <row r="19" spans="1:10" ht="12.75">
      <c r="A19" s="27" t="s">
        <v>39</v>
      </c>
      <c r="B19" s="12">
        <f>466+478+693</f>
        <v>1637</v>
      </c>
      <c r="C19" s="12">
        <f>229+239+318</f>
        <v>786</v>
      </c>
      <c r="D19" s="47">
        <f t="shared" si="0"/>
        <v>851</v>
      </c>
      <c r="E19" s="12">
        <f>365+511+703</f>
        <v>1579</v>
      </c>
      <c r="F19" s="12">
        <f>179+248+349</f>
        <v>776</v>
      </c>
      <c r="G19" s="47">
        <f t="shared" si="1"/>
        <v>803</v>
      </c>
      <c r="H19" s="28">
        <f t="shared" si="2"/>
        <v>58</v>
      </c>
      <c r="I19" s="28">
        <f t="shared" si="3"/>
        <v>10</v>
      </c>
      <c r="J19" s="28">
        <f t="shared" si="4"/>
        <v>48</v>
      </c>
    </row>
    <row r="20" spans="1:10" ht="12.75">
      <c r="A20" s="27" t="s">
        <v>40</v>
      </c>
      <c r="B20" s="12">
        <f>70+91+125</f>
        <v>286</v>
      </c>
      <c r="C20" s="12">
        <f>33+53+54</f>
        <v>140</v>
      </c>
      <c r="D20" s="47">
        <f t="shared" si="0"/>
        <v>146</v>
      </c>
      <c r="E20" s="12">
        <f>62+91+101</f>
        <v>254</v>
      </c>
      <c r="F20" s="12">
        <f>34+46+60</f>
        <v>140</v>
      </c>
      <c r="G20" s="47">
        <f t="shared" si="1"/>
        <v>114</v>
      </c>
      <c r="H20" s="28">
        <f t="shared" si="2"/>
        <v>32</v>
      </c>
      <c r="I20" s="28">
        <f t="shared" si="3"/>
        <v>0</v>
      </c>
      <c r="J20" s="28">
        <f t="shared" si="4"/>
        <v>32</v>
      </c>
    </row>
    <row r="21" spans="1:10" ht="12.75">
      <c r="A21" s="27" t="s">
        <v>41</v>
      </c>
      <c r="B21" s="12">
        <f>15+18+19</f>
        <v>52</v>
      </c>
      <c r="C21" s="12">
        <f>7+7+7</f>
        <v>21</v>
      </c>
      <c r="D21" s="47">
        <f t="shared" si="0"/>
        <v>31</v>
      </c>
      <c r="E21" s="12">
        <f>13+14+20</f>
        <v>47</v>
      </c>
      <c r="F21" s="12">
        <f>8+7+9</f>
        <v>24</v>
      </c>
      <c r="G21" s="47">
        <f t="shared" si="1"/>
        <v>23</v>
      </c>
      <c r="H21" s="28">
        <f t="shared" si="2"/>
        <v>5</v>
      </c>
      <c r="I21" s="28">
        <f t="shared" si="3"/>
        <v>-3</v>
      </c>
      <c r="J21" s="28">
        <f t="shared" si="4"/>
        <v>8</v>
      </c>
    </row>
    <row r="22" spans="1:10" ht="12.75">
      <c r="A22" s="27" t="s">
        <v>42</v>
      </c>
      <c r="B22" s="12">
        <f>64+93+127</f>
        <v>284</v>
      </c>
      <c r="C22" s="12">
        <f>31+58+53</f>
        <v>142</v>
      </c>
      <c r="D22" s="47">
        <f t="shared" si="0"/>
        <v>142</v>
      </c>
      <c r="E22" s="12">
        <f>74+80+158</f>
        <v>312</v>
      </c>
      <c r="F22" s="12">
        <f>29+50+83</f>
        <v>162</v>
      </c>
      <c r="G22" s="47">
        <f t="shared" si="1"/>
        <v>150</v>
      </c>
      <c r="H22" s="28">
        <f t="shared" si="2"/>
        <v>-28</v>
      </c>
      <c r="I22" s="28">
        <f t="shared" si="3"/>
        <v>-20</v>
      </c>
      <c r="J22" s="28">
        <f t="shared" si="4"/>
        <v>-8</v>
      </c>
    </row>
    <row r="23" spans="1:10" ht="12.75">
      <c r="A23" s="27" t="s">
        <v>43</v>
      </c>
      <c r="B23" s="12">
        <f>66+73+84</f>
        <v>223</v>
      </c>
      <c r="C23" s="12">
        <f>30+36+42</f>
        <v>108</v>
      </c>
      <c r="D23" s="47">
        <f t="shared" si="0"/>
        <v>115</v>
      </c>
      <c r="E23" s="12">
        <f>66+60+148</f>
        <v>274</v>
      </c>
      <c r="F23" s="12">
        <f>40+27+71</f>
        <v>138</v>
      </c>
      <c r="G23" s="47">
        <f t="shared" si="1"/>
        <v>136</v>
      </c>
      <c r="H23" s="28">
        <f t="shared" si="2"/>
        <v>-51</v>
      </c>
      <c r="I23" s="28">
        <f t="shared" si="3"/>
        <v>-30</v>
      </c>
      <c r="J23" s="28">
        <f t="shared" si="4"/>
        <v>-21</v>
      </c>
    </row>
    <row r="24" spans="1:10" ht="12.75">
      <c r="A24" s="27" t="s">
        <v>44</v>
      </c>
      <c r="B24" s="12">
        <f>38+45+69</f>
        <v>152</v>
      </c>
      <c r="C24" s="12">
        <f>18+18+38</f>
        <v>74</v>
      </c>
      <c r="D24" s="47">
        <f t="shared" si="0"/>
        <v>78</v>
      </c>
      <c r="E24" s="12">
        <f>22+56+91</f>
        <v>169</v>
      </c>
      <c r="F24" s="12">
        <f>17+27+37</f>
        <v>81</v>
      </c>
      <c r="G24" s="47">
        <f t="shared" si="1"/>
        <v>88</v>
      </c>
      <c r="H24" s="28">
        <f t="shared" si="2"/>
        <v>-17</v>
      </c>
      <c r="I24" s="28">
        <f t="shared" si="3"/>
        <v>-7</v>
      </c>
      <c r="J24" s="28">
        <f t="shared" si="4"/>
        <v>-10</v>
      </c>
    </row>
    <row r="25" spans="1:10" ht="12.75">
      <c r="A25" s="27"/>
      <c r="B25" s="12"/>
      <c r="C25" s="12"/>
      <c r="D25" s="47"/>
      <c r="E25" s="12"/>
      <c r="F25" s="12"/>
      <c r="G25" s="47"/>
      <c r="H25" s="28"/>
      <c r="I25" s="28"/>
      <c r="J25" s="28"/>
    </row>
    <row r="26" spans="1:10" ht="12.75">
      <c r="A26" s="27" t="s">
        <v>101</v>
      </c>
      <c r="B26" s="12">
        <f>SUM(B10:B24)</f>
        <v>15661</v>
      </c>
      <c r="C26" s="12">
        <f>SUM(C10:C24)</f>
        <v>7671</v>
      </c>
      <c r="D26" s="47">
        <f>SUM(D10:D24)</f>
        <v>7990</v>
      </c>
      <c r="E26" s="12">
        <f>SUM(E10:E24)</f>
        <v>14131</v>
      </c>
      <c r="F26" s="12">
        <f>SUM(F10:F24)</f>
        <v>7086</v>
      </c>
      <c r="G26" s="47">
        <f>SUM(G10:G24)</f>
        <v>7045</v>
      </c>
      <c r="H26" s="28">
        <f>B26-E26</f>
        <v>1530</v>
      </c>
      <c r="I26" s="28">
        <f t="shared" si="3"/>
        <v>585</v>
      </c>
      <c r="J26" s="28">
        <f t="shared" si="4"/>
        <v>945</v>
      </c>
    </row>
    <row r="27" spans="1:10" ht="12.75">
      <c r="A27" s="27"/>
      <c r="B27" s="12"/>
      <c r="C27" s="12"/>
      <c r="D27" s="47"/>
      <c r="E27" s="12"/>
      <c r="F27" s="12"/>
      <c r="G27" s="47"/>
      <c r="H27" s="28"/>
      <c r="I27" s="28"/>
      <c r="J27" s="28"/>
    </row>
    <row r="28" spans="1:10" ht="12.75">
      <c r="A28" s="27" t="s">
        <v>70</v>
      </c>
      <c r="B28" s="12">
        <f>1140+1546+1744</f>
        <v>4430</v>
      </c>
      <c r="C28" s="12">
        <f>649+935+1045</f>
        <v>2629</v>
      </c>
      <c r="D28" s="47">
        <f t="shared" si="0"/>
        <v>1801</v>
      </c>
      <c r="E28" s="12">
        <f>1021+1191+1063</f>
        <v>3275</v>
      </c>
      <c r="F28" s="12">
        <f>651+755+644</f>
        <v>2050</v>
      </c>
      <c r="G28" s="47">
        <f t="shared" si="1"/>
        <v>1225</v>
      </c>
      <c r="H28" s="28">
        <f>B28-E28</f>
        <v>1155</v>
      </c>
      <c r="I28" s="28">
        <f>C28-F28</f>
        <v>579</v>
      </c>
      <c r="J28" s="28">
        <f>D28-G28</f>
        <v>576</v>
      </c>
    </row>
    <row r="29" spans="1:10" ht="12.75">
      <c r="A29" s="27"/>
      <c r="B29" s="12"/>
      <c r="C29" s="12"/>
      <c r="D29" s="47"/>
      <c r="E29" s="12"/>
      <c r="F29" s="12"/>
      <c r="G29" s="47"/>
      <c r="H29" s="28"/>
      <c r="I29" s="28"/>
      <c r="J29" s="28"/>
    </row>
    <row r="30" spans="1:10" ht="12.75">
      <c r="A30" s="51" t="s">
        <v>71</v>
      </c>
      <c r="B30" s="30">
        <f aca="true" t="shared" si="5" ref="B30:G30">SUM(B26:B28)</f>
        <v>20091</v>
      </c>
      <c r="C30" s="30">
        <f t="shared" si="5"/>
        <v>10300</v>
      </c>
      <c r="D30" s="50">
        <f t="shared" si="5"/>
        <v>9791</v>
      </c>
      <c r="E30" s="30">
        <f t="shared" si="5"/>
        <v>17406</v>
      </c>
      <c r="F30" s="30">
        <f t="shared" si="5"/>
        <v>9136</v>
      </c>
      <c r="G30" s="50">
        <f t="shared" si="5"/>
        <v>8270</v>
      </c>
      <c r="H30" s="31">
        <f>B30-E30</f>
        <v>2685</v>
      </c>
      <c r="I30" s="31">
        <f>C30-F30</f>
        <v>1164</v>
      </c>
      <c r="J30" s="31">
        <f>D30-G30</f>
        <v>1521</v>
      </c>
    </row>
    <row r="31" spans="8:10" ht="12.75">
      <c r="H31" s="28"/>
      <c r="I31" s="28"/>
      <c r="J31" s="28"/>
    </row>
    <row r="32" spans="8:10" ht="12.75">
      <c r="H32" s="28"/>
      <c r="I32" s="28"/>
      <c r="J32" s="28"/>
    </row>
    <row r="33" ht="12.75">
      <c r="F33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BruhnCh</dc:creator>
  <cp:keywords/>
  <dc:description/>
  <cp:lastModifiedBy>Jähne, Regina</cp:lastModifiedBy>
  <cp:lastPrinted>2012-05-09T07:46:29Z</cp:lastPrinted>
  <dcterms:created xsi:type="dcterms:W3CDTF">2010-09-22T05:26:38Z</dcterms:created>
  <dcterms:modified xsi:type="dcterms:W3CDTF">2012-06-20T09:07:52Z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