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Übersicht" sheetId="1" r:id="rId1"/>
    <sheet name="ZuF-Kreise" sheetId="2" r:id="rId2"/>
    <sheet name="ZuF Kreise, Monate" sheetId="3" r:id="rId3"/>
    <sheet name="ZuF Landesgrenze" sheetId="4" r:id="rId4"/>
  </sheets>
  <definedNames/>
  <calcPr fullCalcOnLoad="1"/>
</workbook>
</file>

<file path=xl/sharedStrings.xml><?xml version="1.0" encoding="utf-8"?>
<sst xmlns="http://schemas.openxmlformats.org/spreadsheetml/2006/main" count="190" uniqueCount="88">
  <si>
    <t>Hamburg</t>
  </si>
  <si>
    <t>über die Landesgrenze</t>
  </si>
  <si>
    <t xml:space="preserve">Zuzüge </t>
  </si>
  <si>
    <t xml:space="preserve">Fortzüge </t>
  </si>
  <si>
    <t>Schleswig-Holstein</t>
  </si>
  <si>
    <t>insgesamt</t>
  </si>
  <si>
    <t>männlich</t>
  </si>
  <si>
    <t>weiblich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</si>
  <si>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</si>
  <si>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</si>
  <si>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</si>
  <si>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</si>
  <si>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</si>
  <si>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</si>
  <si>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</si>
  <si>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</si>
  <si>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</si>
  <si>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</si>
  <si>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</si>
  <si>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Zuzüge</t>
  </si>
  <si>
    <t>Fortzüge</t>
  </si>
  <si>
    <t>Anzahl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</si>
  <si>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</si>
  <si>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</si>
  <si>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</si>
  <si>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</si>
  <si>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</si>
  <si>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</si>
  <si>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</si>
  <si>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r>
      <t>insgesamt</t>
    </r>
    <r>
      <rPr>
        <vertAlign val="superscript"/>
        <sz val="9"/>
        <rFont val="Arial"/>
        <family val="0"/>
      </rPr>
      <t>1</t>
    </r>
  </si>
  <si>
    <t>Wanderungs-gewinn oder -verlust (-)</t>
  </si>
  <si>
    <t>Baden-Württemberg</t>
  </si>
  <si>
    <t>Bayern</t>
  </si>
  <si>
    <t>Berlin</t>
  </si>
  <si>
    <t>Brandenburg</t>
  </si>
  <si>
    <t>Bremen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</si>
  <si>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</si>
  <si>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</si>
  <si>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</si>
  <si>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</si>
  <si>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</si>
  <si>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</si>
  <si>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</si>
  <si>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</si>
  <si>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Bundesrepublik Deutschland</t>
  </si>
  <si>
    <t>Herkunfts- bzw. Zielgebiet</t>
  </si>
  <si>
    <t>Hessen</t>
  </si>
  <si>
    <t>Merkmal</t>
  </si>
  <si>
    <t>Umzüge zwischen Gemeinden innerhalb Schleswig-Holsteins</t>
  </si>
  <si>
    <t>Hinweis:</t>
  </si>
  <si>
    <t xml:space="preserve">Bundeszahlen veröffentlicht das Statistische Bundesamt in seiner Fachserie 1 "Bevölkerung und </t>
  </si>
  <si>
    <t xml:space="preserve">Erwerbstätigkeit", Reihe 1 "Gebiet und Bevölkerung". </t>
  </si>
  <si>
    <t xml:space="preserve">Rechtsgrundlage: </t>
  </si>
  <si>
    <t>Gesetz über die Statistik der Bevölkerungsbewegung und die Fortschreibung des Bevölkerungsstandes</t>
  </si>
  <si>
    <t xml:space="preserve">in der Fassung vom 14. März 1980 (BGBl. I S.308), zuletzt geändert durch Artikel 2 des Gesetzes </t>
  </si>
  <si>
    <t xml:space="preserve">vom 25. März 2002 (BGBl. I S. 1186). </t>
  </si>
  <si>
    <t>Flensburg</t>
  </si>
  <si>
    <t>Kiel</t>
  </si>
  <si>
    <t>Lübeck</t>
  </si>
  <si>
    <t>Neumünster</t>
  </si>
  <si>
    <t>Kreise zusammen</t>
  </si>
  <si>
    <t>Kreisfreie Städte zusammen</t>
  </si>
  <si>
    <t>Insgesamt</t>
  </si>
  <si>
    <t>Umzüge zwischen Ortsteilen innerhalb Hamburgs</t>
  </si>
  <si>
    <t>Saldo</t>
  </si>
  <si>
    <r>
      <t>2</t>
    </r>
    <r>
      <rPr>
        <sz val="7"/>
        <rFont val="Arial"/>
        <family val="2"/>
      </rPr>
      <t xml:space="preserve"> über die Gemeindegrenzen</t>
    </r>
  </si>
  <si>
    <t>Bezirk                        Kreisfreie Stadt                Kreis</t>
  </si>
  <si>
    <r>
      <t>innerhalb des Landes</t>
    </r>
    <r>
      <rPr>
        <vertAlign val="superscript"/>
        <sz val="9"/>
        <rFont val="Arial"/>
        <family val="2"/>
      </rPr>
      <t>1</t>
    </r>
  </si>
  <si>
    <r>
      <t>1</t>
    </r>
    <r>
      <rPr>
        <sz val="7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</si>
  <si>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Schleswig-Holstein: über die Gemeindegrenzen.</t>
  </si>
  <si>
    <t>Bezirk                     Kreisfreie Stadt              Kreis</t>
  </si>
  <si>
    <r>
      <t>1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</si>
  <si>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 Schleswig-Holstein: über die Gemeindegrenzen.</t>
  </si>
  <si>
    <t>nach Herkunfts- und Zielgebiet</t>
  </si>
  <si>
    <t>Ausland</t>
  </si>
  <si>
    <t>3. Vierteljahr 2003</t>
  </si>
  <si>
    <t>3. Vierteljahr 2004</t>
  </si>
  <si>
    <t xml:space="preserve">2. Zu- und Fortzüge im 3. Vierteljahr 2004 </t>
  </si>
  <si>
    <t>3. Zu- und Fortzüge im 3. Vierteljahr 2004 nach Monaten</t>
  </si>
  <si>
    <t>Juli</t>
  </si>
  <si>
    <t>August</t>
  </si>
  <si>
    <r>
      <t>4.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3</t>
    </r>
    <r>
      <rPr>
        <b/>
        <sz val="10"/>
        <rFont val="Arial"/>
        <family val="2"/>
      </rPr>
      <t>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</si>
  <si>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r>
      <t>noch: 4.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3</t>
    </r>
    <r>
      <rPr>
        <b/>
        <sz val="10"/>
        <rFont val="Arial"/>
        <family val="2"/>
      </rPr>
      <t>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</si>
  <si>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t>Sept.</t>
  </si>
  <si>
    <t>zusammen</t>
  </si>
  <si>
    <t>Kreisfreie Städte</t>
  </si>
  <si>
    <t xml:space="preserve">1. Übersicht </t>
  </si>
  <si>
    <t>Die Wanderungen im 3. Vierteljahr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</si>
</sst>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\ ###\ ###"/>
    <numFmt numFmtId="166" formatCode="#\ ###\ ###"/>
    <numFmt numFmtId="167" formatCode="#.0\ ###\ ###"/>
    <numFmt numFmtId="168" formatCode="#.00\ ###\ ###"/>
    <numFmt numFmtId="169" formatCode="#\ ###\ ###\ ###"/>
    <numFmt numFmtId="170" formatCode="#0.0\ ###\ ###"/>
    <numFmt numFmtId="171" formatCode="#.\ ###\ ###"/>
    <numFmt numFmtId="172" formatCode=".\ ###\ ;############################################################################################################################################################################"/>
    <numFmt numFmtId="173" formatCode=".\ ###\ ;################################################################################################################################"/>
    <numFmt numFmtId="174" formatCode=".\ ##\ ;################################################################################################################################"/>
    <numFmt numFmtId="175" formatCode=".\ #\ ;################################################################################################################################"/>
    <numFmt numFmtId="176" formatCode=".\ ##\ ;############################################################################################################################################################################"/>
    <numFmt numFmtId="177" formatCode=".\ #\ ;############################################################################################################################################################################"/>
    <numFmt numFmtId="178" formatCode=".\ ##\ ;############################################################################################################################################################################.0"/>
    <numFmt numFmtId="179" formatCode=".\ ###\ ;############################################################################################################################################################################.00"/>
    <numFmt numFmtId="180" formatCode="_-* 0.0"/>
    <numFmt numFmtId="181" formatCode="0.0"/>
    <numFmt numFmtId="182" formatCode="\ \ \ \ \ \ \ \ \ \ \ \ \ \ \ \ \ \ \ \ \ \ \ \ \ \ \ \ \ \ \ \ \ \ \ \ \ \ \ \ \ \ \ \ \ \ \ \ \ \ \ \ \ \ \ \ \ \ \ \ #\ ###\ ###"/>
    <numFmt numFmtId="183" formatCode="\ \ \ \ \ \ \ \ \ \ \ \ \ \ \ \ \ \ \ \ \ \ \ \ \ \ \ \ \ \ \ \ \ \ \ \ \ \ \ \ \ #\ ###\ ###"/>
    <numFmt numFmtId="184" formatCode="\ \ \ \ \ \ \ \ \ \ \ \ \ \ \ \ \ \ \ \ \ \ \ \ \ \ \ \ \ \ \ \ \ \ \ \ \ #\ ###\ ###"/>
    <numFmt numFmtId="185" formatCode="\ \ \ \ \ \ \ \ \ \ \ \ \ \ \ \ \ \ \ \ \ #\ ###\ ###"/>
    <numFmt numFmtId="186" formatCode="\ \ \ \ \ \ \ \ \ #\ ###\ ###"/>
    <numFmt numFmtId="187" formatCode="\ \ \ \ \ \ \ \ \ \ \ \ \ #\ ###\ ###"/>
    <numFmt numFmtId="188" formatCode="\ \ \ \ \ \ \ \ \ \ \ \ \ \ \ \ \ #\ ###\ ###"/>
    <numFmt numFmtId="189" formatCode="\ \ \ \ \ \ \ \ \ \ \ \ \ \ \ \ \ \ \ #\ ###\ ###"/>
    <numFmt numFmtId="190" formatCode="\ \ \ \ \ \ \ \ \ \ \ \ \ \ \ \ \ \ #\ ###\ ###"/>
    <numFmt numFmtId="191" formatCode="\ \ \ \ \ \ \ \ \ \ \ \ \ \ \ \ #\ ###\ ###"/>
    <numFmt numFmtId="192" formatCode="\ \ \ \ \ \ \ \ \ \ \ \ \ \ \ #\ ###\ ###"/>
    <numFmt numFmtId="193" formatCode="\ \ \ \ \ \ \ \ \ \ \ \ \ \ #\ ###\ ###"/>
    <numFmt numFmtId="194" formatCode="\ \ \ \ \ \ \ \ \ \ \ #\ ###\ ###"/>
    <numFmt numFmtId="195" formatCode="\ \ \ \ \ \ \ \ \ \ \ \ #\ ###\ ###"/>
    <numFmt numFmtId="196" formatCode="\ \ \ \ \ \ \ \ \ \ #\ ###\ ###"/>
    <numFmt numFmtId="197" formatCode="[$-407]d/\ mmmm\ yyyy;@"/>
    <numFmt numFmtId="198" formatCode="\ \ \ \ \ \ #\ ###\ ###"/>
    <numFmt numFmtId="199" formatCode="\ \ \ \ \ #\ ###\ ###"/>
    <numFmt numFmtId="200" formatCode="\ \ \ \ \ \ \ \ #\ ###"/>
    <numFmt numFmtId="201" formatCode="\ \ \ \ \ \ \ \ #\ ###\ ###"/>
    <numFmt numFmtId="202" formatCode="\ \ \ \ \ \ \ #\ ###\ ###"/>
    <numFmt numFmtId="203" formatCode="\ \ \ \ #\ ###\ ###"/>
    <numFmt numFmtId="204" formatCode="* ###\ ###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4" fillId="0" borderId="0" xfId="0" applyNumberFormat="1" applyFont="1" applyAlignment="1">
      <alignment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77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3" xfId="0" applyNumberFormat="1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204" fontId="0" fillId="0" borderId="0" xfId="0" applyNumberFormat="1" applyBorder="1" applyAlignment="1">
      <alignment/>
    </xf>
    <xf numFmtId="204" fontId="2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3" xfId="0" applyNumberFormat="1" applyFill="1" applyBorder="1" applyAlignment="1">
      <alignment/>
    </xf>
    <xf numFmtId="169" fontId="2" fillId="0" borderId="0" xfId="0" applyNumberFormat="1" applyFont="1" applyAlignment="1">
      <alignment/>
    </xf>
    <xf numFmtId="169" fontId="2" fillId="0" borderId="3" xfId="0" applyNumberFormat="1" applyFont="1" applyBorder="1" applyAlignment="1">
      <alignment/>
    </xf>
    <xf numFmtId="49" fontId="0" fillId="0" borderId="12" xfId="0" applyNumberFormat="1" applyBorder="1" applyAlignment="1">
      <alignment horizontal="right"/>
    </xf>
    <xf numFmtId="204" fontId="0" fillId="0" borderId="12" xfId="0" applyNumberFormat="1" applyBorder="1" applyAlignment="1">
      <alignment/>
    </xf>
    <xf numFmtId="204" fontId="0" fillId="0" borderId="12" xfId="0" applyNumberFormat="1" applyBorder="1" applyAlignment="1">
      <alignment horizontal="right"/>
    </xf>
    <xf numFmtId="204" fontId="0" fillId="0" borderId="12" xfId="0" applyNumberFormat="1" applyFill="1" applyBorder="1" applyAlignment="1">
      <alignment/>
    </xf>
    <xf numFmtId="204" fontId="2" fillId="0" borderId="12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85725</xdr:rowOff>
    </xdr:from>
    <xdr:to>
      <xdr:col>7</xdr:col>
      <xdr:colOff>523875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52"/>
  <sheetViews>
    <sheetView showGridLines="0" tabSelected="1" workbookViewId="0" topLeftCell="A1">
      <selection activeCell="B17" sqref="B17"/>
    </sheetView>
  </sheetViews>
  <sheetFormatPr defaultColWidth="11.421875" defaultRowHeight="12.75"/>
  <cols>
    <col min="1" max="1" width="26.00390625" style="0" customWidth="1"/>
    <col min="2" max="2" width="9.7109375" style="0" customWidth="1"/>
    <col min="3" max="6" width="9.8515625" style="0" customWidth="1"/>
  </cols>
  <sheetData>
    <row r="16" spans="1:7" ht="16.5">
      <c r="A16" s="95" t="s">
        <v>87</v>
      </c>
      <c r="B16" s="94"/>
      <c r="C16" s="94"/>
      <c r="D16" s="94"/>
      <c r="E16" s="94"/>
      <c r="F16" s="94"/>
      <c r="G16" s="94"/>
    </row>
    <row r="20" spans="1:7" ht="12.75">
      <c r="A20" s="94" t="s">
        <v>86</v>
      </c>
      <c r="B20" s="94"/>
      <c r="C20" s="94"/>
      <c r="D20" s="94"/>
      <c r="E20" s="94"/>
      <c r="F20" s="94"/>
      <c r="G20" s="94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99" t="s">
        <v>47</v>
      </c>
      <c r="B22" s="105" t="s">
        <v>75</v>
      </c>
      <c r="C22" s="106"/>
      <c r="D22" s="107"/>
      <c r="E22" s="105" t="s">
        <v>76</v>
      </c>
      <c r="F22" s="106"/>
      <c r="G22" s="106"/>
    </row>
    <row r="23" spans="1:7" ht="12.75">
      <c r="A23" s="100"/>
      <c r="B23" s="14" t="s">
        <v>5</v>
      </c>
      <c r="C23" s="14" t="s">
        <v>6</v>
      </c>
      <c r="D23" s="14" t="s">
        <v>7</v>
      </c>
      <c r="E23" s="14" t="s">
        <v>5</v>
      </c>
      <c r="F23" s="14" t="s">
        <v>6</v>
      </c>
      <c r="G23" s="5" t="s">
        <v>7</v>
      </c>
    </row>
    <row r="24" spans="1:7" ht="12.75">
      <c r="A24" s="54"/>
      <c r="B24" s="38"/>
      <c r="C24" s="38"/>
      <c r="D24" s="38"/>
      <c r="E24" s="38"/>
      <c r="F24" s="38"/>
      <c r="G24" s="38"/>
    </row>
    <row r="25" spans="1:7" ht="12.75">
      <c r="A25" s="103" t="s">
        <v>0</v>
      </c>
      <c r="B25" s="103"/>
      <c r="C25" s="103"/>
      <c r="D25" s="103"/>
      <c r="E25" s="103"/>
      <c r="F25" s="103"/>
      <c r="G25" s="103"/>
    </row>
    <row r="26" spans="1:7" ht="12.75">
      <c r="A26" s="55"/>
      <c r="B26" s="31"/>
      <c r="C26" s="31"/>
      <c r="D26" s="31"/>
      <c r="E26" s="31"/>
      <c r="F26" s="31"/>
      <c r="G26" s="31"/>
    </row>
    <row r="27" spans="1:7" ht="12.75">
      <c r="A27" s="55" t="s">
        <v>2</v>
      </c>
      <c r="B27" s="31">
        <f>C27+D27</f>
        <v>22188</v>
      </c>
      <c r="C27" s="58">
        <f>3767+3650+4212</f>
        <v>11629</v>
      </c>
      <c r="D27" s="58">
        <f>3466+3447+3646</f>
        <v>10559</v>
      </c>
      <c r="E27" s="31">
        <f>F27+G27</f>
        <v>24427</v>
      </c>
      <c r="F27" s="31">
        <f>3979+4523+4514</f>
        <v>13016</v>
      </c>
      <c r="G27" s="31">
        <f>3406+4182+3823</f>
        <v>11411</v>
      </c>
    </row>
    <row r="28" spans="1:7" ht="12.75">
      <c r="A28" s="55" t="s">
        <v>3</v>
      </c>
      <c r="B28" s="31">
        <f>C28+D28</f>
        <v>18914</v>
      </c>
      <c r="C28" s="58">
        <f>3444+3063+3506</f>
        <v>10013</v>
      </c>
      <c r="D28" s="58">
        <f>3014+2909+2978</f>
        <v>8901</v>
      </c>
      <c r="E28" s="31">
        <f>F28+G28</f>
        <v>26504</v>
      </c>
      <c r="F28" s="31">
        <f>4808+4864+4514</f>
        <v>14186</v>
      </c>
      <c r="G28" s="31">
        <f>4281+4112+3925</f>
        <v>12318</v>
      </c>
    </row>
    <row r="29" spans="1:7" ht="12.75">
      <c r="A29" s="55" t="s">
        <v>64</v>
      </c>
      <c r="B29" s="31">
        <f aca="true" t="shared" si="0" ref="B29:G29">SUM(B27-B28)</f>
        <v>3274</v>
      </c>
      <c r="C29" s="31">
        <f t="shared" si="0"/>
        <v>1616</v>
      </c>
      <c r="D29" s="31">
        <f t="shared" si="0"/>
        <v>1658</v>
      </c>
      <c r="E29" s="72">
        <f t="shared" si="0"/>
        <v>-2077</v>
      </c>
      <c r="F29" s="72">
        <f t="shared" si="0"/>
        <v>-1170</v>
      </c>
      <c r="G29" s="72">
        <f t="shared" si="0"/>
        <v>-907</v>
      </c>
    </row>
    <row r="30" spans="1:7" ht="12.75">
      <c r="A30" s="55"/>
      <c r="B30" s="31"/>
      <c r="C30" s="58"/>
      <c r="D30" s="58"/>
      <c r="E30" s="31"/>
      <c r="F30" s="31"/>
      <c r="G30" s="31"/>
    </row>
    <row r="31" spans="1:7" ht="12.75">
      <c r="A31" s="101" t="s">
        <v>63</v>
      </c>
      <c r="B31" s="97">
        <f>C31+D31</f>
        <v>28108</v>
      </c>
      <c r="C31" s="98">
        <f>5001+4368+4718</f>
        <v>14087</v>
      </c>
      <c r="D31" s="98">
        <f>4957+4332+4732</f>
        <v>14021</v>
      </c>
      <c r="E31" s="97">
        <f>F31+G31</f>
        <v>29169</v>
      </c>
      <c r="F31" s="97">
        <f>4970+4839+4744</f>
        <v>14553</v>
      </c>
      <c r="G31" s="97">
        <f>4938+4879+4799</f>
        <v>14616</v>
      </c>
    </row>
    <row r="32" spans="1:7" ht="12.75">
      <c r="A32" s="101"/>
      <c r="B32" s="97"/>
      <c r="C32" s="98"/>
      <c r="D32" s="98"/>
      <c r="E32" s="97"/>
      <c r="F32" s="97"/>
      <c r="G32" s="97"/>
    </row>
    <row r="33" spans="1:7" ht="12.75">
      <c r="A33" s="56"/>
      <c r="B33" s="39"/>
      <c r="C33" s="39"/>
      <c r="D33" s="39"/>
      <c r="E33" s="39"/>
      <c r="F33" s="39"/>
      <c r="G33" s="39"/>
    </row>
    <row r="34" spans="1:7" ht="12.75">
      <c r="A34" s="104" t="s">
        <v>4</v>
      </c>
      <c r="B34" s="104"/>
      <c r="C34" s="104"/>
      <c r="D34" s="104"/>
      <c r="E34" s="104"/>
      <c r="F34" s="104"/>
      <c r="G34" s="104"/>
    </row>
    <row r="35" spans="1:7" ht="12.75">
      <c r="A35" s="55"/>
      <c r="B35" s="31"/>
      <c r="C35" s="31"/>
      <c r="D35" s="31"/>
      <c r="E35" s="31"/>
      <c r="F35" s="31"/>
      <c r="G35" s="31"/>
    </row>
    <row r="36" spans="1:7" ht="12.75">
      <c r="A36" s="55" t="s">
        <v>2</v>
      </c>
      <c r="B36" s="31">
        <v>22863</v>
      </c>
      <c r="C36" s="58">
        <v>11220</v>
      </c>
      <c r="D36" s="58">
        <v>11643</v>
      </c>
      <c r="E36" s="31">
        <f>F36+G36</f>
        <v>22695</v>
      </c>
      <c r="F36" s="58">
        <f>3692+3974+3620</f>
        <v>11286</v>
      </c>
      <c r="G36" s="58">
        <f>3809+4071+3529</f>
        <v>11409</v>
      </c>
    </row>
    <row r="37" spans="1:7" ht="12.75">
      <c r="A37" s="55" t="s">
        <v>3</v>
      </c>
      <c r="B37" s="31">
        <v>18320</v>
      </c>
      <c r="C37" s="58">
        <v>9565</v>
      </c>
      <c r="D37" s="58">
        <v>8755</v>
      </c>
      <c r="E37" s="31">
        <f>F37+G37</f>
        <v>18986</v>
      </c>
      <c r="F37" s="58">
        <f>3226+3528+3254</f>
        <v>10008</v>
      </c>
      <c r="G37" s="58">
        <f>2845+3162+2971</f>
        <v>8978</v>
      </c>
    </row>
    <row r="38" spans="1:7" ht="12.75">
      <c r="A38" s="55" t="s">
        <v>64</v>
      </c>
      <c r="B38" s="31">
        <f aca="true" t="shared" si="1" ref="B38:G38">SUM(B36-B37)</f>
        <v>4543</v>
      </c>
      <c r="C38" s="31">
        <f t="shared" si="1"/>
        <v>1655</v>
      </c>
      <c r="D38" s="31">
        <f t="shared" si="1"/>
        <v>2888</v>
      </c>
      <c r="E38" s="31">
        <f t="shared" si="1"/>
        <v>3709</v>
      </c>
      <c r="F38" s="31">
        <f t="shared" si="1"/>
        <v>1278</v>
      </c>
      <c r="G38" s="31">
        <f t="shared" si="1"/>
        <v>2431</v>
      </c>
    </row>
    <row r="39" spans="1:7" ht="12.75">
      <c r="A39" s="55"/>
      <c r="B39" s="31"/>
      <c r="C39" s="58"/>
      <c r="D39" s="58"/>
      <c r="E39" s="31"/>
      <c r="F39" s="58"/>
      <c r="G39" s="58"/>
    </row>
    <row r="40" spans="1:7" ht="12.75">
      <c r="A40" s="102" t="s">
        <v>48</v>
      </c>
      <c r="B40" s="97">
        <v>33194</v>
      </c>
      <c r="C40" s="98">
        <v>16458</v>
      </c>
      <c r="D40" s="98">
        <v>16736</v>
      </c>
      <c r="E40" s="97">
        <f>F40+G40</f>
        <v>33096</v>
      </c>
      <c r="F40" s="98">
        <v>16262</v>
      </c>
      <c r="G40" s="98">
        <v>16834</v>
      </c>
    </row>
    <row r="41" spans="1:7" ht="12.75">
      <c r="A41" s="102"/>
      <c r="B41" s="97"/>
      <c r="C41" s="98"/>
      <c r="D41" s="98"/>
      <c r="E41" s="97"/>
      <c r="F41" s="98"/>
      <c r="G41" s="98"/>
    </row>
    <row r="42" spans="1:7" ht="12.75">
      <c r="A42" s="62"/>
      <c r="B42" s="60"/>
      <c r="C42" s="61"/>
      <c r="D42" s="61"/>
      <c r="E42" s="60"/>
      <c r="F42" s="61"/>
      <c r="G42" s="61"/>
    </row>
    <row r="43" spans="1:7" ht="12.75">
      <c r="A43" s="62"/>
      <c r="B43" s="60"/>
      <c r="C43" s="61"/>
      <c r="D43" s="61"/>
      <c r="E43" s="60"/>
      <c r="F43" s="61"/>
      <c r="G43" s="61"/>
    </row>
    <row r="44" spans="1:7" ht="48.75" customHeight="1">
      <c r="A44" s="62"/>
      <c r="B44" s="60"/>
      <c r="C44" s="61"/>
      <c r="D44" s="61"/>
      <c r="E44" s="60"/>
      <c r="F44" s="61"/>
      <c r="G44" s="61"/>
    </row>
    <row r="45" ht="12.75">
      <c r="A45" s="6" t="s">
        <v>49</v>
      </c>
    </row>
    <row r="46" spans="1:7" ht="12.75">
      <c r="A46" s="96" t="s">
        <v>50</v>
      </c>
      <c r="B46" s="96"/>
      <c r="C46" s="96"/>
      <c r="D46" s="96"/>
      <c r="E46" s="96"/>
      <c r="F46" s="96"/>
      <c r="G46" s="96"/>
    </row>
    <row r="47" spans="1:7" ht="12.75">
      <c r="A47" s="96" t="s">
        <v>51</v>
      </c>
      <c r="B47" s="96"/>
      <c r="C47" s="96"/>
      <c r="D47" s="96"/>
      <c r="E47" s="96"/>
      <c r="F47" s="96"/>
      <c r="G47" s="96"/>
    </row>
    <row r="48" ht="26.25" customHeight="1"/>
    <row r="49" ht="12.75">
      <c r="A49" s="6" t="s">
        <v>52</v>
      </c>
    </row>
    <row r="50" spans="1:7" ht="12.75">
      <c r="A50" s="96" t="s">
        <v>53</v>
      </c>
      <c r="B50" s="96"/>
      <c r="C50" s="96"/>
      <c r="D50" s="96"/>
      <c r="E50" s="96"/>
      <c r="F50" s="96"/>
      <c r="G50" s="96"/>
    </row>
    <row r="51" spans="1:7" ht="12.75">
      <c r="A51" s="96" t="s">
        <v>54</v>
      </c>
      <c r="B51" s="96"/>
      <c r="C51" s="96"/>
      <c r="D51" s="96"/>
      <c r="E51" s="96"/>
      <c r="F51" s="96"/>
      <c r="G51" s="96"/>
    </row>
    <row r="52" spans="1:7" ht="12.75">
      <c r="A52" s="96" t="s">
        <v>55</v>
      </c>
      <c r="B52" s="96"/>
      <c r="C52" s="96"/>
      <c r="D52" s="96"/>
      <c r="E52" s="96"/>
      <c r="F52" s="96"/>
      <c r="G52" s="96"/>
    </row>
  </sheetData>
  <mergeCells count="26">
    <mergeCell ref="E22:G22"/>
    <mergeCell ref="G31:G32"/>
    <mergeCell ref="C31:C32"/>
    <mergeCell ref="D31:D32"/>
    <mergeCell ref="E31:E32"/>
    <mergeCell ref="F31:F32"/>
    <mergeCell ref="A22:A23"/>
    <mergeCell ref="A31:A32"/>
    <mergeCell ref="B31:B32"/>
    <mergeCell ref="A40:A41"/>
    <mergeCell ref="B40:B41"/>
    <mergeCell ref="A25:G25"/>
    <mergeCell ref="C40:C41"/>
    <mergeCell ref="D40:D41"/>
    <mergeCell ref="A34:G34"/>
    <mergeCell ref="B22:D22"/>
    <mergeCell ref="A20:G20"/>
    <mergeCell ref="A16:G16"/>
    <mergeCell ref="A52:G52"/>
    <mergeCell ref="A46:G46"/>
    <mergeCell ref="A47:G47"/>
    <mergeCell ref="A50:G50"/>
    <mergeCell ref="A51:G51"/>
    <mergeCell ref="E40:E41"/>
    <mergeCell ref="F40:F41"/>
    <mergeCell ref="G40:G4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5546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00390625" style="0" customWidth="1"/>
    <col min="2" max="2" width="9.00390625" style="0" customWidth="1"/>
    <col min="3" max="3" width="10.00390625" style="0" customWidth="1"/>
    <col min="4" max="4" width="12.00390625" style="0" customWidth="1"/>
    <col min="5" max="5" width="9.00390625" style="0" customWidth="1"/>
    <col min="6" max="6" width="10.00390625" style="0" customWidth="1"/>
    <col min="7" max="7" width="12.00390625" style="0" customWidth="1"/>
    <col min="8" max="8" width="14.7109375" style="0" customWidth="1"/>
    <col min="9" max="9" width="10.57421875" style="4" customWidth="1"/>
    <col min="10" max="10" width="19.00390625" style="0" customWidth="1"/>
    <col min="11" max="11" width="12.28125" style="0" bestFit="1" customWidth="1"/>
  </cols>
  <sheetData>
    <row r="1" spans="1:8" ht="12.75">
      <c r="A1" s="94" t="s">
        <v>77</v>
      </c>
      <c r="B1" s="94"/>
      <c r="C1" s="94"/>
      <c r="D1" s="94"/>
      <c r="E1" s="94"/>
      <c r="F1" s="94"/>
      <c r="G1" s="94"/>
      <c r="H1" s="94"/>
    </row>
    <row r="2" ht="12.75" customHeight="1">
      <c r="H2" s="1"/>
    </row>
    <row r="3" spans="1:10" ht="39" customHeight="1">
      <c r="A3" s="109" t="s">
        <v>66</v>
      </c>
      <c r="B3" s="111" t="s">
        <v>19</v>
      </c>
      <c r="C3" s="89"/>
      <c r="D3" s="90"/>
      <c r="E3" s="111" t="s">
        <v>20</v>
      </c>
      <c r="F3" s="89"/>
      <c r="G3" s="90"/>
      <c r="H3" s="52" t="s">
        <v>30</v>
      </c>
      <c r="I3" s="50"/>
      <c r="J3" s="44"/>
    </row>
    <row r="4" spans="1:10" ht="37.5">
      <c r="A4" s="110"/>
      <c r="B4" s="8" t="s">
        <v>5</v>
      </c>
      <c r="C4" s="8" t="s">
        <v>67</v>
      </c>
      <c r="D4" s="9" t="s">
        <v>1</v>
      </c>
      <c r="E4" s="8" t="s">
        <v>5</v>
      </c>
      <c r="F4" s="8" t="s">
        <v>67</v>
      </c>
      <c r="G4" s="9" t="s">
        <v>1</v>
      </c>
      <c r="H4" s="36" t="s">
        <v>21</v>
      </c>
      <c r="I4" s="37"/>
      <c r="J4" s="45"/>
    </row>
    <row r="5" spans="1:10" ht="12.75">
      <c r="A5" s="37"/>
      <c r="B5" s="37"/>
      <c r="C5" s="37"/>
      <c r="D5" s="37"/>
      <c r="E5" s="37"/>
      <c r="F5" s="37"/>
      <c r="G5" s="37"/>
      <c r="H5" s="37"/>
      <c r="J5" s="44"/>
    </row>
    <row r="6" spans="1:10" ht="12.75">
      <c r="A6" s="108" t="s">
        <v>0</v>
      </c>
      <c r="B6" s="108"/>
      <c r="C6" s="108"/>
      <c r="D6" s="108"/>
      <c r="E6" s="108"/>
      <c r="F6" s="108"/>
      <c r="G6" s="108"/>
      <c r="H6" s="108"/>
      <c r="I6" s="47"/>
      <c r="J6" s="42"/>
    </row>
    <row r="7" spans="1:10" ht="12" customHeight="1">
      <c r="A7" s="4"/>
      <c r="B7" s="4"/>
      <c r="C7" s="4"/>
      <c r="D7" s="4"/>
      <c r="E7" s="4"/>
      <c r="F7" s="4"/>
      <c r="G7" s="4"/>
      <c r="H7" s="4"/>
      <c r="I7" s="47"/>
      <c r="J7" s="42"/>
    </row>
    <row r="8" spans="1:10" ht="12.75">
      <c r="A8" s="32" t="s">
        <v>22</v>
      </c>
      <c r="B8" s="41">
        <f>C8+D8</f>
        <v>8539</v>
      </c>
      <c r="C8" s="41">
        <f>1463+1399+1365</f>
        <v>4227</v>
      </c>
      <c r="D8" s="41">
        <f>1253+1504+1555</f>
        <v>4312</v>
      </c>
      <c r="E8" s="41">
        <f>F8+G8</f>
        <v>10137</v>
      </c>
      <c r="F8" s="41">
        <f>1423+1523+1597</f>
        <v>4543</v>
      </c>
      <c r="G8" s="41">
        <f>1681+2309+1604</f>
        <v>5594</v>
      </c>
      <c r="H8" s="72">
        <f>SUM(B8-E8)</f>
        <v>-1598</v>
      </c>
      <c r="I8" s="47"/>
      <c r="J8" s="42"/>
    </row>
    <row r="9" spans="1:10" ht="12" customHeight="1">
      <c r="A9" s="32"/>
      <c r="B9" s="41"/>
      <c r="C9" s="41"/>
      <c r="D9" s="41"/>
      <c r="E9" s="41"/>
      <c r="F9" s="41"/>
      <c r="G9" s="41"/>
      <c r="H9" s="72">
        <f aca="true" t="shared" si="0" ref="H9:H22">SUM(B9-E9)</f>
        <v>0</v>
      </c>
      <c r="I9" s="47"/>
      <c r="J9" s="42"/>
    </row>
    <row r="10" spans="1:10" ht="12.75">
      <c r="A10" s="32" t="s">
        <v>23</v>
      </c>
      <c r="B10" s="41">
        <f>C10+D10</f>
        <v>7873</v>
      </c>
      <c r="C10" s="41">
        <f>1365+1425+1388</f>
        <v>4178</v>
      </c>
      <c r="D10" s="41">
        <f>1088+1310+1297</f>
        <v>3695</v>
      </c>
      <c r="E10" s="41">
        <f aca="true" t="shared" si="1" ref="E10:E20">F10+G10</f>
        <v>8166</v>
      </c>
      <c r="F10" s="41">
        <f>1423+1397+1286</f>
        <v>4106</v>
      </c>
      <c r="G10" s="41">
        <f>1247+1183+1630</f>
        <v>4060</v>
      </c>
      <c r="H10" s="72">
        <f t="shared" si="0"/>
        <v>-293</v>
      </c>
      <c r="I10" s="47"/>
      <c r="J10" s="42"/>
    </row>
    <row r="11" spans="1:10" ht="12" customHeight="1">
      <c r="A11" s="32"/>
      <c r="B11" s="41"/>
      <c r="C11" s="41"/>
      <c r="D11" s="41"/>
      <c r="E11" s="41"/>
      <c r="F11" s="41"/>
      <c r="G11" s="41"/>
      <c r="H11" s="72">
        <f t="shared" si="0"/>
        <v>0</v>
      </c>
      <c r="I11" s="47"/>
      <c r="J11" s="42"/>
    </row>
    <row r="12" spans="1:10" ht="12.75">
      <c r="A12" s="32" t="s">
        <v>24</v>
      </c>
      <c r="B12" s="41">
        <f>C12+D12</f>
        <v>7800</v>
      </c>
      <c r="C12" s="41">
        <f>1440+1405+1461</f>
        <v>4306</v>
      </c>
      <c r="D12" s="41">
        <f>1009+1283+1202</f>
        <v>3494</v>
      </c>
      <c r="E12" s="41">
        <f t="shared" si="1"/>
        <v>8055</v>
      </c>
      <c r="F12" s="41">
        <f>1457+1379+1375</f>
        <v>4211</v>
      </c>
      <c r="G12" s="41">
        <f>1612+1180+1052</f>
        <v>3844</v>
      </c>
      <c r="H12" s="72">
        <f t="shared" si="0"/>
        <v>-255</v>
      </c>
      <c r="I12" s="47"/>
      <c r="J12" s="42"/>
    </row>
    <row r="13" spans="1:10" ht="12" customHeight="1">
      <c r="A13" s="32"/>
      <c r="B13" s="41"/>
      <c r="C13" s="41"/>
      <c r="D13" s="41"/>
      <c r="E13" s="41"/>
      <c r="F13" s="41"/>
      <c r="G13" s="41"/>
      <c r="H13" s="72">
        <f t="shared" si="0"/>
        <v>0</v>
      </c>
      <c r="I13" s="47"/>
      <c r="J13" s="42"/>
    </row>
    <row r="14" spans="1:10" ht="12.75">
      <c r="A14" s="32" t="s">
        <v>25</v>
      </c>
      <c r="B14" s="41">
        <f aca="true" t="shared" si="2" ref="B14:B22">C14+D14</f>
        <v>10305</v>
      </c>
      <c r="C14" s="41">
        <f>1989+1863+1823</f>
        <v>5675</v>
      </c>
      <c r="D14" s="41">
        <f>1416+1699+1515</f>
        <v>4630</v>
      </c>
      <c r="E14" s="41">
        <f t="shared" si="1"/>
        <v>9955</v>
      </c>
      <c r="F14" s="41">
        <f>2061+1898+1958</f>
        <v>5917</v>
      </c>
      <c r="G14" s="41">
        <f>1530+1313+1195</f>
        <v>4038</v>
      </c>
      <c r="H14" s="72">
        <f t="shared" si="0"/>
        <v>350</v>
      </c>
      <c r="I14" s="47"/>
      <c r="J14" s="42"/>
    </row>
    <row r="15" spans="1:10" ht="12" customHeight="1">
      <c r="A15" s="32"/>
      <c r="B15" s="41"/>
      <c r="C15" s="41"/>
      <c r="D15" s="41"/>
      <c r="E15" s="41"/>
      <c r="F15" s="41"/>
      <c r="G15" s="41"/>
      <c r="H15" s="72">
        <f t="shared" si="0"/>
        <v>0</v>
      </c>
      <c r="I15" s="47"/>
      <c r="J15" s="42"/>
    </row>
    <row r="16" spans="1:10" ht="12.75">
      <c r="A16" s="32" t="s">
        <v>26</v>
      </c>
      <c r="B16" s="41">
        <f t="shared" si="2"/>
        <v>10074</v>
      </c>
      <c r="C16" s="41">
        <f>2020+2029+1928</f>
        <v>5977</v>
      </c>
      <c r="D16" s="41">
        <f>1311+1456+1330</f>
        <v>4097</v>
      </c>
      <c r="E16" s="41">
        <f t="shared" si="1"/>
        <v>10380</v>
      </c>
      <c r="F16" s="41">
        <f>1910+1930+1841</f>
        <v>5681</v>
      </c>
      <c r="G16" s="41">
        <f>1735+1355+1609</f>
        <v>4699</v>
      </c>
      <c r="H16" s="72">
        <f t="shared" si="0"/>
        <v>-306</v>
      </c>
      <c r="I16" s="47"/>
      <c r="J16" s="42"/>
    </row>
    <row r="17" spans="1:10" ht="12" customHeight="1">
      <c r="A17" s="32"/>
      <c r="B17" s="41"/>
      <c r="C17" s="41"/>
      <c r="D17" s="41"/>
      <c r="E17" s="41"/>
      <c r="F17" s="41"/>
      <c r="G17" s="41"/>
      <c r="H17" s="72">
        <f t="shared" si="0"/>
        <v>0</v>
      </c>
      <c r="I17" s="47"/>
      <c r="J17" s="42"/>
    </row>
    <row r="18" spans="1:10" ht="12.75">
      <c r="A18" s="32" t="s">
        <v>27</v>
      </c>
      <c r="B18" s="41">
        <f t="shared" si="2"/>
        <v>3012</v>
      </c>
      <c r="C18" s="41">
        <f>547+568+545</f>
        <v>1660</v>
      </c>
      <c r="D18" s="41">
        <f>449+459+444</f>
        <v>1352</v>
      </c>
      <c r="E18" s="41">
        <f t="shared" si="1"/>
        <v>2852</v>
      </c>
      <c r="F18" s="41">
        <f>523+567+491</f>
        <v>1581</v>
      </c>
      <c r="G18" s="41">
        <f>450+415+406</f>
        <v>1271</v>
      </c>
      <c r="H18" s="72">
        <f t="shared" si="0"/>
        <v>160</v>
      </c>
      <c r="I18" s="47"/>
      <c r="J18" s="42"/>
    </row>
    <row r="19" spans="1:10" ht="12" customHeight="1">
      <c r="A19" s="32"/>
      <c r="B19" s="41"/>
      <c r="C19" s="41"/>
      <c r="D19" s="41"/>
      <c r="E19" s="41"/>
      <c r="F19" s="41"/>
      <c r="G19" s="41"/>
      <c r="H19" s="72">
        <f t="shared" si="0"/>
        <v>0</v>
      </c>
      <c r="I19" s="47"/>
      <c r="J19" s="42"/>
    </row>
    <row r="20" spans="1:10" s="6" customFormat="1" ht="12.75">
      <c r="A20" s="32" t="s">
        <v>28</v>
      </c>
      <c r="B20" s="41">
        <f t="shared" si="2"/>
        <v>5993</v>
      </c>
      <c r="C20" s="41">
        <f>1084+1029+1033</f>
        <v>3146</v>
      </c>
      <c r="D20" s="41">
        <f>859+994+994</f>
        <v>2847</v>
      </c>
      <c r="E20" s="41">
        <f t="shared" si="1"/>
        <v>6128</v>
      </c>
      <c r="F20" s="41">
        <f>1111+1024+995</f>
        <v>3130</v>
      </c>
      <c r="G20" s="41">
        <f>834+1221+943</f>
        <v>2998</v>
      </c>
      <c r="H20" s="72">
        <f t="shared" si="0"/>
        <v>-135</v>
      </c>
      <c r="I20" s="53"/>
      <c r="J20" s="46"/>
    </row>
    <row r="21" spans="1:10" s="6" customFormat="1" ht="9" customHeight="1">
      <c r="A21" s="32"/>
      <c r="B21" s="41">
        <f t="shared" si="2"/>
        <v>0</v>
      </c>
      <c r="C21" s="41"/>
      <c r="D21" s="41"/>
      <c r="E21" s="41"/>
      <c r="F21" s="41"/>
      <c r="G21" s="41"/>
      <c r="H21" s="72">
        <f t="shared" si="0"/>
        <v>0</v>
      </c>
      <c r="I21" s="53"/>
      <c r="J21" s="46"/>
    </row>
    <row r="22" spans="1:10" s="6" customFormat="1" ht="12.75">
      <c r="A22" s="33" t="s">
        <v>0</v>
      </c>
      <c r="B22" s="43">
        <f t="shared" si="2"/>
        <v>53596</v>
      </c>
      <c r="C22" s="43">
        <f>SUM(C8:C21)</f>
        <v>29169</v>
      </c>
      <c r="D22" s="43">
        <f>SUM(D8:D21)</f>
        <v>24427</v>
      </c>
      <c r="E22" s="43">
        <f>SUM(E8:E20)</f>
        <v>55673</v>
      </c>
      <c r="F22" s="43">
        <f>SUM(F8:F20)</f>
        <v>29169</v>
      </c>
      <c r="G22" s="43">
        <f>SUM(G8:G20)</f>
        <v>26504</v>
      </c>
      <c r="H22" s="73">
        <f t="shared" si="0"/>
        <v>-2077</v>
      </c>
      <c r="I22" s="53"/>
      <c r="J22" s="46"/>
    </row>
    <row r="23" spans="1:10" s="6" customFormat="1" ht="12.75" customHeight="1">
      <c r="A23" s="57"/>
      <c r="B23" s="43"/>
      <c r="C23" s="43"/>
      <c r="D23" s="43"/>
      <c r="E23" s="43"/>
      <c r="F23" s="43"/>
      <c r="G23" s="43"/>
      <c r="H23" s="43"/>
      <c r="I23" s="53"/>
      <c r="J23" s="46"/>
    </row>
    <row r="24" spans="1:10" s="6" customFormat="1" ht="12.75" customHeight="1">
      <c r="A24" s="57"/>
      <c r="B24" s="43"/>
      <c r="C24" s="43"/>
      <c r="D24" s="43"/>
      <c r="E24" s="43"/>
      <c r="F24" s="43"/>
      <c r="G24" s="43"/>
      <c r="H24" s="43"/>
      <c r="I24" s="53"/>
      <c r="J24" s="46"/>
    </row>
    <row r="25" spans="1:8" ht="12.75" customHeight="1">
      <c r="A25" s="57"/>
      <c r="B25" s="43"/>
      <c r="C25" s="43"/>
      <c r="D25" s="43"/>
      <c r="E25" s="43"/>
      <c r="F25" s="43"/>
      <c r="G25" s="43"/>
      <c r="H25" s="43"/>
    </row>
    <row r="26" spans="1:8" ht="12.75">
      <c r="A26" s="108" t="s">
        <v>4</v>
      </c>
      <c r="B26" s="108"/>
      <c r="C26" s="108"/>
      <c r="D26" s="108"/>
      <c r="E26" s="108"/>
      <c r="F26" s="108"/>
      <c r="G26" s="108"/>
      <c r="H26" s="108"/>
    </row>
    <row r="27" spans="1:8" ht="12.75" customHeight="1">
      <c r="A27" s="4"/>
      <c r="B27" s="4"/>
      <c r="C27" s="4"/>
      <c r="D27" s="4"/>
      <c r="E27" s="4"/>
      <c r="F27" s="4"/>
      <c r="G27" s="4"/>
      <c r="H27" s="4"/>
    </row>
    <row r="28" spans="1:10" ht="12.75" customHeight="1">
      <c r="A28" s="32" t="s">
        <v>56</v>
      </c>
      <c r="B28" s="41">
        <f>C28+D28</f>
        <v>2251</v>
      </c>
      <c r="C28" s="41">
        <f>309+428+398</f>
        <v>1135</v>
      </c>
      <c r="D28" s="41">
        <f>274+422+420</f>
        <v>1116</v>
      </c>
      <c r="E28" s="41">
        <f>F28+G28</f>
        <v>1932</v>
      </c>
      <c r="F28" s="41">
        <f>333+345+303</f>
        <v>981</v>
      </c>
      <c r="G28" s="41">
        <f>300+285+366</f>
        <v>951</v>
      </c>
      <c r="H28" s="72">
        <f>SUM(B28-E28)</f>
        <v>319</v>
      </c>
      <c r="I28" s="49"/>
      <c r="J28" s="10"/>
    </row>
    <row r="29" spans="1:10" ht="12.75">
      <c r="A29" s="32" t="s">
        <v>57</v>
      </c>
      <c r="B29" s="41">
        <f>C29+D29</f>
        <v>4031</v>
      </c>
      <c r="C29" s="41">
        <f>604+725+632</f>
        <v>1961</v>
      </c>
      <c r="D29" s="41">
        <f>600+753+717</f>
        <v>2070</v>
      </c>
      <c r="E29" s="41">
        <f>F29+G29</f>
        <v>4412</v>
      </c>
      <c r="F29" s="41">
        <f>629+690+714</f>
        <v>2033</v>
      </c>
      <c r="G29" s="41">
        <f>670+984+725</f>
        <v>2379</v>
      </c>
      <c r="H29" s="72">
        <f aca="true" t="shared" si="3" ref="H29:H51">SUM(B29-E29)</f>
        <v>-381</v>
      </c>
      <c r="I29" s="45"/>
      <c r="J29" s="45"/>
    </row>
    <row r="30" spans="1:10" ht="12.75">
      <c r="A30" s="32" t="s">
        <v>58</v>
      </c>
      <c r="B30" s="41">
        <f>C30+D30</f>
        <v>3313</v>
      </c>
      <c r="C30" s="41">
        <f>345+406+432</f>
        <v>1183</v>
      </c>
      <c r="D30" s="41">
        <f>593+763+774</f>
        <v>2130</v>
      </c>
      <c r="E30" s="41">
        <f>F30+G30</f>
        <v>3335</v>
      </c>
      <c r="F30" s="41">
        <f>435+478+436</f>
        <v>1349</v>
      </c>
      <c r="G30" s="41">
        <f>613+723+650</f>
        <v>1986</v>
      </c>
      <c r="H30" s="72">
        <f t="shared" si="3"/>
        <v>-22</v>
      </c>
      <c r="I30" s="44"/>
      <c r="J30" s="44"/>
    </row>
    <row r="31" spans="1:10" ht="12.75">
      <c r="A31" s="32" t="s">
        <v>59</v>
      </c>
      <c r="B31" s="41">
        <f>C31+D31</f>
        <v>1014</v>
      </c>
      <c r="C31" s="41">
        <f>203+178+176</f>
        <v>557</v>
      </c>
      <c r="D31" s="41">
        <f>163+177+117</f>
        <v>457</v>
      </c>
      <c r="E31" s="41">
        <f>F31+G31</f>
        <v>1101</v>
      </c>
      <c r="F31" s="41">
        <f>209+246+253</f>
        <v>708</v>
      </c>
      <c r="G31" s="41">
        <f>113+137+143</f>
        <v>393</v>
      </c>
      <c r="H31" s="72">
        <f t="shared" si="3"/>
        <v>-87</v>
      </c>
      <c r="I31" s="30"/>
      <c r="J31" s="42"/>
    </row>
    <row r="32" spans="1:10" ht="12.75">
      <c r="A32" s="32"/>
      <c r="B32" s="41"/>
      <c r="C32" s="41"/>
      <c r="D32" s="41"/>
      <c r="E32" s="41"/>
      <c r="F32" s="41"/>
      <c r="G32" s="41"/>
      <c r="H32" s="72">
        <f t="shared" si="3"/>
        <v>0</v>
      </c>
      <c r="I32" s="29"/>
      <c r="J32" s="44"/>
    </row>
    <row r="33" spans="1:10" ht="12.75">
      <c r="A33" s="32" t="s">
        <v>61</v>
      </c>
      <c r="B33" s="41">
        <f aca="true" t="shared" si="4" ref="B33:G33">SUM(B28:B32)</f>
        <v>10609</v>
      </c>
      <c r="C33" s="41">
        <f t="shared" si="4"/>
        <v>4836</v>
      </c>
      <c r="D33" s="41">
        <f t="shared" si="4"/>
        <v>5773</v>
      </c>
      <c r="E33" s="41">
        <f t="shared" si="4"/>
        <v>10780</v>
      </c>
      <c r="F33" s="41">
        <f t="shared" si="4"/>
        <v>5071</v>
      </c>
      <c r="G33" s="41">
        <f t="shared" si="4"/>
        <v>5709</v>
      </c>
      <c r="H33" s="72">
        <f t="shared" si="3"/>
        <v>-171</v>
      </c>
      <c r="I33" s="29"/>
      <c r="J33" s="44"/>
    </row>
    <row r="34" spans="1:10" ht="12.75">
      <c r="A34" s="32"/>
      <c r="B34" s="41"/>
      <c r="C34" s="41"/>
      <c r="D34" s="41"/>
      <c r="E34" s="41"/>
      <c r="F34" s="41"/>
      <c r="G34" s="41"/>
      <c r="H34" s="72">
        <f t="shared" si="3"/>
        <v>0</v>
      </c>
      <c r="I34" s="30"/>
      <c r="J34" s="44"/>
    </row>
    <row r="35" spans="1:10" ht="12.75">
      <c r="A35" s="32" t="s">
        <v>8</v>
      </c>
      <c r="B35" s="41">
        <f>C35+D35</f>
        <v>2761</v>
      </c>
      <c r="C35" s="41">
        <f>537+859+648</f>
        <v>2044</v>
      </c>
      <c r="D35" s="41">
        <f>233+271+213</f>
        <v>717</v>
      </c>
      <c r="E35" s="41">
        <f>F35+G35</f>
        <v>2699</v>
      </c>
      <c r="F35" s="41">
        <f>610+838+663</f>
        <v>2111</v>
      </c>
      <c r="G35" s="41">
        <f>162+207+219</f>
        <v>588</v>
      </c>
      <c r="H35" s="72">
        <f t="shared" si="3"/>
        <v>62</v>
      </c>
      <c r="I35" s="30"/>
      <c r="J35" s="44"/>
    </row>
    <row r="36" spans="1:11" ht="12.75">
      <c r="A36" s="32" t="s">
        <v>9</v>
      </c>
      <c r="B36" s="41">
        <f aca="true" t="shared" si="5" ref="B36:B49">C36+D36</f>
        <v>3605</v>
      </c>
      <c r="C36" s="41">
        <f>718+562+574</f>
        <v>1854</v>
      </c>
      <c r="D36" s="41">
        <f>590+625+536</f>
        <v>1751</v>
      </c>
      <c r="E36" s="41">
        <f aca="true" t="shared" si="6" ref="E36:E47">F36+G36</f>
        <v>3233</v>
      </c>
      <c r="F36" s="41">
        <f>692+610+555</f>
        <v>1857</v>
      </c>
      <c r="G36" s="41">
        <f>425+477+474</f>
        <v>1376</v>
      </c>
      <c r="H36" s="72">
        <f t="shared" si="3"/>
        <v>372</v>
      </c>
      <c r="I36" s="30"/>
      <c r="J36" s="42"/>
      <c r="K36" s="21"/>
    </row>
    <row r="37" spans="1:10" ht="12.75">
      <c r="A37" s="32" t="s">
        <v>10</v>
      </c>
      <c r="B37" s="41">
        <f t="shared" si="5"/>
        <v>3476</v>
      </c>
      <c r="C37" s="41">
        <f>777+747+771</f>
        <v>2295</v>
      </c>
      <c r="D37" s="41">
        <f>415+454+312</f>
        <v>1181</v>
      </c>
      <c r="E37" s="41">
        <f t="shared" si="6"/>
        <v>3293</v>
      </c>
      <c r="F37" s="41">
        <f>799+797+806</f>
        <v>2402</v>
      </c>
      <c r="G37" s="41">
        <f>279+308+304</f>
        <v>891</v>
      </c>
      <c r="H37" s="72">
        <f t="shared" si="3"/>
        <v>183</v>
      </c>
      <c r="I37" s="30"/>
      <c r="J37" s="44"/>
    </row>
    <row r="38" spans="1:10" ht="12.75">
      <c r="A38" s="32" t="s">
        <v>11</v>
      </c>
      <c r="B38" s="41">
        <f t="shared" si="5"/>
        <v>4070</v>
      </c>
      <c r="C38" s="41">
        <f>879+855+826</f>
        <v>2560</v>
      </c>
      <c r="D38" s="41">
        <f>535+523+452</f>
        <v>1510</v>
      </c>
      <c r="E38" s="41">
        <f t="shared" si="6"/>
        <v>3722</v>
      </c>
      <c r="F38" s="41">
        <f>830+842+809</f>
        <v>2481</v>
      </c>
      <c r="G38" s="41">
        <f>367+407+467</f>
        <v>1241</v>
      </c>
      <c r="H38" s="72">
        <f t="shared" si="3"/>
        <v>348</v>
      </c>
      <c r="I38" s="30"/>
      <c r="J38" s="44"/>
    </row>
    <row r="39" spans="1:10" ht="12.75">
      <c r="A39" s="32"/>
      <c r="B39" s="41"/>
      <c r="C39" s="41"/>
      <c r="D39" s="41"/>
      <c r="E39" s="41">
        <f t="shared" si="6"/>
        <v>0</v>
      </c>
      <c r="F39" s="41"/>
      <c r="G39" s="41"/>
      <c r="H39" s="72">
        <f t="shared" si="3"/>
        <v>0</v>
      </c>
      <c r="I39" s="30"/>
      <c r="J39" s="44"/>
    </row>
    <row r="40" spans="1:10" ht="12.75">
      <c r="A40" s="32" t="s">
        <v>12</v>
      </c>
      <c r="B40" s="41">
        <f t="shared" si="5"/>
        <v>6010</v>
      </c>
      <c r="C40" s="41">
        <f>944+989+994</f>
        <v>2927</v>
      </c>
      <c r="D40" s="41">
        <f>1008+1116+959</f>
        <v>3083</v>
      </c>
      <c r="E40" s="41">
        <f t="shared" si="6"/>
        <v>5368</v>
      </c>
      <c r="F40" s="41">
        <f>940+996+1073</f>
        <v>3009</v>
      </c>
      <c r="G40" s="41">
        <f>798+841+720</f>
        <v>2359</v>
      </c>
      <c r="H40" s="72">
        <f t="shared" si="3"/>
        <v>642</v>
      </c>
      <c r="I40" s="30"/>
      <c r="J40" s="44"/>
    </row>
    <row r="41" spans="1:10" ht="12.75">
      <c r="A41" s="32" t="s">
        <v>13</v>
      </c>
      <c r="B41" s="41">
        <f t="shared" si="5"/>
        <v>2713</v>
      </c>
      <c r="C41" s="41">
        <f>660+717+683</f>
        <v>2060</v>
      </c>
      <c r="D41" s="41">
        <f>268+214+171</f>
        <v>653</v>
      </c>
      <c r="E41" s="41">
        <f t="shared" si="6"/>
        <v>2410</v>
      </c>
      <c r="F41" s="41">
        <f>592+702+605</f>
        <v>1899</v>
      </c>
      <c r="G41" s="41">
        <f>176+173+162</f>
        <v>511</v>
      </c>
      <c r="H41" s="72">
        <f t="shared" si="3"/>
        <v>303</v>
      </c>
      <c r="I41" s="30"/>
      <c r="J41" s="44"/>
    </row>
    <row r="42" spans="1:10" ht="12.75">
      <c r="A42" s="32" t="s">
        <v>14</v>
      </c>
      <c r="B42" s="41">
        <f t="shared" si="5"/>
        <v>5540</v>
      </c>
      <c r="C42" s="41">
        <f>1385+1504+1325</f>
        <v>4214</v>
      </c>
      <c r="D42" s="41">
        <f>445+464+417</f>
        <v>1326</v>
      </c>
      <c r="E42" s="41">
        <f t="shared" si="6"/>
        <v>5272</v>
      </c>
      <c r="F42" s="41">
        <f>1354+1426+1261</f>
        <v>4041</v>
      </c>
      <c r="G42" s="41">
        <f>468+346+417</f>
        <v>1231</v>
      </c>
      <c r="H42" s="72">
        <f t="shared" si="3"/>
        <v>268</v>
      </c>
      <c r="I42" s="30"/>
      <c r="J42" s="44"/>
    </row>
    <row r="43" spans="1:11" ht="12.75">
      <c r="A43" s="32" t="s">
        <v>15</v>
      </c>
      <c r="B43" s="41">
        <f t="shared" si="5"/>
        <v>4335</v>
      </c>
      <c r="C43" s="41">
        <f>1143+1147+1009</f>
        <v>3299</v>
      </c>
      <c r="D43" s="41">
        <f>371+363+302</f>
        <v>1036</v>
      </c>
      <c r="E43" s="41">
        <f t="shared" si="6"/>
        <v>4173</v>
      </c>
      <c r="F43" s="41">
        <f>1110+1157+1043</f>
        <v>3310</v>
      </c>
      <c r="G43" s="41">
        <f>275+297+291</f>
        <v>863</v>
      </c>
      <c r="H43" s="72">
        <f t="shared" si="3"/>
        <v>162</v>
      </c>
      <c r="I43" s="30"/>
      <c r="J43" s="44"/>
      <c r="K43" s="25"/>
    </row>
    <row r="44" spans="1:10" ht="12.75">
      <c r="A44" s="32"/>
      <c r="B44" s="41"/>
      <c r="C44" s="41"/>
      <c r="D44" s="41"/>
      <c r="E44" s="41">
        <f t="shared" si="6"/>
        <v>0</v>
      </c>
      <c r="F44" s="41"/>
      <c r="G44" s="41"/>
      <c r="H44" s="72">
        <f t="shared" si="3"/>
        <v>0</v>
      </c>
      <c r="I44" s="30"/>
      <c r="J44" s="44"/>
    </row>
    <row r="45" spans="1:10" ht="12.75">
      <c r="A45" s="32" t="s">
        <v>16</v>
      </c>
      <c r="B45" s="41">
        <f t="shared" si="5"/>
        <v>5404</v>
      </c>
      <c r="C45" s="41">
        <f>1014+984+1000</f>
        <v>2998</v>
      </c>
      <c r="D45" s="41">
        <f>830+823+753</f>
        <v>2406</v>
      </c>
      <c r="E45" s="41">
        <f t="shared" si="6"/>
        <v>5036</v>
      </c>
      <c r="F45" s="41">
        <f>1081+1064+962</f>
        <v>3107</v>
      </c>
      <c r="G45" s="41">
        <f>676+668+585</f>
        <v>1929</v>
      </c>
      <c r="H45" s="72">
        <f t="shared" si="3"/>
        <v>368</v>
      </c>
      <c r="I45" s="30"/>
      <c r="J45" s="44"/>
    </row>
    <row r="46" spans="1:10" ht="12.75">
      <c r="A46" s="32" t="s">
        <v>17</v>
      </c>
      <c r="B46" s="41">
        <f t="shared" si="5"/>
        <v>2647</v>
      </c>
      <c r="C46" s="41">
        <f>702+609+613</f>
        <v>1924</v>
      </c>
      <c r="D46" s="41">
        <f>283+228+212</f>
        <v>723</v>
      </c>
      <c r="E46" s="41">
        <f t="shared" si="6"/>
        <v>2417</v>
      </c>
      <c r="F46" s="41">
        <f>656+588+565</f>
        <v>1809</v>
      </c>
      <c r="G46" s="41">
        <f>191+226+191</f>
        <v>608</v>
      </c>
      <c r="H46" s="72">
        <f t="shared" si="3"/>
        <v>230</v>
      </c>
      <c r="I46" s="30"/>
      <c r="J46" s="44"/>
    </row>
    <row r="47" spans="1:10" ht="12.75">
      <c r="A47" s="32" t="s">
        <v>18</v>
      </c>
      <c r="B47" s="41">
        <f t="shared" si="5"/>
        <v>4621</v>
      </c>
      <c r="C47" s="41">
        <f>707+733+645</f>
        <v>2085</v>
      </c>
      <c r="D47" s="41">
        <f>893+849+794</f>
        <v>2536</v>
      </c>
      <c r="E47" s="41">
        <f t="shared" si="6"/>
        <v>3679</v>
      </c>
      <c r="F47" s="41">
        <f>657+664+678</f>
        <v>1999</v>
      </c>
      <c r="G47" s="41">
        <f>558+611+511</f>
        <v>1680</v>
      </c>
      <c r="H47" s="72">
        <f t="shared" si="3"/>
        <v>942</v>
      </c>
      <c r="I47" s="30"/>
      <c r="J47" s="44"/>
    </row>
    <row r="48" spans="1:10" ht="12.75">
      <c r="A48" s="32"/>
      <c r="B48" s="41"/>
      <c r="C48" s="41"/>
      <c r="D48" s="41"/>
      <c r="E48" s="41"/>
      <c r="F48" s="41"/>
      <c r="G48" s="41"/>
      <c r="H48" s="72">
        <f t="shared" si="3"/>
        <v>0</v>
      </c>
      <c r="I48" s="30"/>
      <c r="J48" s="44"/>
    </row>
    <row r="49" spans="1:10" ht="12.75">
      <c r="A49" s="32" t="s">
        <v>60</v>
      </c>
      <c r="B49" s="41">
        <f t="shared" si="5"/>
        <v>45182</v>
      </c>
      <c r="C49" s="41">
        <f>C35+C36+C37+C38+C40+C41+C42+C43+C45+C46+C47</f>
        <v>28260</v>
      </c>
      <c r="D49" s="41">
        <f>D35+D36+D37+D38+D40+D41+D42+D43+D45+D46+D47</f>
        <v>16922</v>
      </c>
      <c r="E49" s="41">
        <f>E35+E36+E37+E38+E40+E41+E42+E43+E45+E46+E47</f>
        <v>41302</v>
      </c>
      <c r="F49" s="41">
        <f>F35+F36+F37+F38+F40+F41+F42+F43+F45+F46+F47</f>
        <v>28025</v>
      </c>
      <c r="G49" s="41">
        <f>G35+G36+G37+G38+G40+G41+G42+G43+G45+G46+G47</f>
        <v>13277</v>
      </c>
      <c r="H49" s="72">
        <f t="shared" si="3"/>
        <v>3880</v>
      </c>
      <c r="I49" s="30"/>
      <c r="J49" s="44"/>
    </row>
    <row r="50" spans="1:10" ht="12.75">
      <c r="A50" s="32"/>
      <c r="B50" s="41"/>
      <c r="C50" s="41"/>
      <c r="D50" s="41"/>
      <c r="E50" s="41"/>
      <c r="F50" s="41"/>
      <c r="G50" s="41"/>
      <c r="H50" s="72">
        <f t="shared" si="3"/>
        <v>0</v>
      </c>
      <c r="I50" s="30"/>
      <c r="J50" s="44"/>
    </row>
    <row r="51" spans="1:10" ht="12.75">
      <c r="A51" s="33" t="s">
        <v>4</v>
      </c>
      <c r="B51" s="43">
        <f aca="true" t="shared" si="7" ref="B51:G51">B33+B49</f>
        <v>55791</v>
      </c>
      <c r="C51" s="43">
        <f t="shared" si="7"/>
        <v>33096</v>
      </c>
      <c r="D51" s="43">
        <f t="shared" si="7"/>
        <v>22695</v>
      </c>
      <c r="E51" s="43">
        <f t="shared" si="7"/>
        <v>52082</v>
      </c>
      <c r="F51" s="43">
        <f t="shared" si="7"/>
        <v>33096</v>
      </c>
      <c r="G51" s="43">
        <f t="shared" si="7"/>
        <v>18986</v>
      </c>
      <c r="H51" s="73">
        <f t="shared" si="3"/>
        <v>3709</v>
      </c>
      <c r="I51" s="21"/>
      <c r="J51" s="44"/>
    </row>
    <row r="52" spans="1:10" ht="12.75">
      <c r="A52" s="4"/>
      <c r="B52" s="4"/>
      <c r="C52" s="4"/>
      <c r="D52" s="4"/>
      <c r="E52" s="4"/>
      <c r="F52" s="4"/>
      <c r="G52" s="4"/>
      <c r="H52" s="4"/>
      <c r="I52" s="27"/>
      <c r="J52" s="44"/>
    </row>
    <row r="53" spans="1:10" ht="6.75" customHeight="1">
      <c r="A53" s="64"/>
      <c r="B53" s="4"/>
      <c r="C53" s="4"/>
      <c r="D53" s="4"/>
      <c r="E53" s="4"/>
      <c r="F53" s="4"/>
      <c r="G53" s="4"/>
      <c r="H53" s="4"/>
      <c r="I53" s="48"/>
      <c r="J53" s="44"/>
    </row>
    <row r="54" spans="1:10" s="6" customFormat="1" ht="12.75">
      <c r="A54" s="65" t="s">
        <v>68</v>
      </c>
      <c r="B54"/>
      <c r="C54"/>
      <c r="D54"/>
      <c r="E54"/>
      <c r="F54"/>
      <c r="G54"/>
      <c r="H54"/>
      <c r="I54" s="28"/>
      <c r="J54" s="46"/>
    </row>
    <row r="55" spans="1:10" ht="9" customHeight="1">
      <c r="A55" s="63" t="s">
        <v>69</v>
      </c>
      <c r="I55" s="44"/>
      <c r="J55" s="44"/>
    </row>
    <row r="56" ht="13.5">
      <c r="A56" s="12" t="s">
        <v>65</v>
      </c>
    </row>
    <row r="57" ht="6.75" customHeight="1"/>
  </sheetData>
  <mergeCells count="6">
    <mergeCell ref="A1:H1"/>
    <mergeCell ref="A6:H6"/>
    <mergeCell ref="A26:H26"/>
    <mergeCell ref="A3:A4"/>
    <mergeCell ref="B3:D3"/>
    <mergeCell ref="E3:G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47">
      <selection activeCell="A1" sqref="A1:M57"/>
    </sheetView>
  </sheetViews>
  <sheetFormatPr defaultColWidth="11.421875" defaultRowHeight="12.75"/>
  <cols>
    <col min="1" max="1" width="19.57421875" style="0" customWidth="1"/>
    <col min="2" max="4" width="7.00390625" style="0" customWidth="1"/>
    <col min="5" max="7" width="6.57421875" style="0" customWidth="1"/>
    <col min="8" max="10" width="7.00390625" style="0" customWidth="1"/>
    <col min="11" max="13" width="6.57421875" style="0" customWidth="1"/>
  </cols>
  <sheetData>
    <row r="1" spans="1:13" ht="11.2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>
      <c r="A3" s="109" t="s">
        <v>70</v>
      </c>
      <c r="B3" s="112" t="s">
        <v>19</v>
      </c>
      <c r="C3" s="112"/>
      <c r="D3" s="112"/>
      <c r="E3" s="112"/>
      <c r="F3" s="112"/>
      <c r="G3" s="113"/>
      <c r="H3" s="114" t="s">
        <v>20</v>
      </c>
      <c r="I3" s="112"/>
      <c r="J3" s="112"/>
      <c r="K3" s="112"/>
      <c r="L3" s="112"/>
      <c r="M3" s="112"/>
    </row>
    <row r="4" spans="1:13" ht="13.5">
      <c r="A4" s="93"/>
      <c r="B4" s="112" t="s">
        <v>29</v>
      </c>
      <c r="C4" s="112"/>
      <c r="D4" s="113"/>
      <c r="E4" s="115" t="s">
        <v>1</v>
      </c>
      <c r="F4" s="116"/>
      <c r="G4" s="116"/>
      <c r="H4" s="117" t="s">
        <v>29</v>
      </c>
      <c r="I4" s="118"/>
      <c r="J4" s="119"/>
      <c r="K4" s="114" t="s">
        <v>1</v>
      </c>
      <c r="L4" s="112"/>
      <c r="M4" s="112"/>
    </row>
    <row r="5" spans="1:13" ht="12.75">
      <c r="A5" s="110"/>
      <c r="B5" s="18" t="s">
        <v>79</v>
      </c>
      <c r="C5" s="19" t="s">
        <v>80</v>
      </c>
      <c r="D5" s="17" t="s">
        <v>83</v>
      </c>
      <c r="E5" s="19" t="s">
        <v>79</v>
      </c>
      <c r="F5" s="19" t="s">
        <v>80</v>
      </c>
      <c r="G5" s="19" t="s">
        <v>83</v>
      </c>
      <c r="H5" s="19" t="s">
        <v>79</v>
      </c>
      <c r="I5" s="19" t="s">
        <v>80</v>
      </c>
      <c r="J5" s="19" t="s">
        <v>83</v>
      </c>
      <c r="K5" s="20" t="s">
        <v>79</v>
      </c>
      <c r="L5" s="20" t="s">
        <v>80</v>
      </c>
      <c r="M5" s="16" t="s">
        <v>83</v>
      </c>
    </row>
    <row r="6" spans="1:13" ht="12.7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2.75">
      <c r="A7" s="91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2.75">
      <c r="A8" s="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32" t="s">
        <v>22</v>
      </c>
      <c r="B9" s="74">
        <f>E9+1463</f>
        <v>2716</v>
      </c>
      <c r="C9" s="74">
        <f>F9+1399</f>
        <v>2903</v>
      </c>
      <c r="D9" s="74">
        <f>G9+1365</f>
        <v>2920</v>
      </c>
      <c r="E9" s="75">
        <v>1253</v>
      </c>
      <c r="F9" s="75">
        <v>1504</v>
      </c>
      <c r="G9" s="75">
        <v>1555</v>
      </c>
      <c r="H9" s="74">
        <f>K9+1423</f>
        <v>3104</v>
      </c>
      <c r="I9" s="74">
        <f>L9+1523</f>
        <v>3832</v>
      </c>
      <c r="J9" s="74">
        <f>M9+1597</f>
        <v>3201</v>
      </c>
      <c r="K9" s="74">
        <v>1681</v>
      </c>
      <c r="L9" s="74">
        <v>2309</v>
      </c>
      <c r="M9" s="74">
        <v>1604</v>
      </c>
    </row>
    <row r="10" spans="1:13" ht="12.75">
      <c r="A10" s="32"/>
      <c r="B10" s="74"/>
      <c r="C10" s="74"/>
      <c r="D10" s="74"/>
      <c r="E10" s="75"/>
      <c r="F10" s="75"/>
      <c r="G10" s="75"/>
      <c r="H10" s="74"/>
      <c r="I10" s="74"/>
      <c r="J10" s="74"/>
      <c r="K10" s="74"/>
      <c r="L10" s="74"/>
      <c r="M10" s="74"/>
    </row>
    <row r="11" spans="1:13" ht="12.75">
      <c r="A11" s="32" t="s">
        <v>23</v>
      </c>
      <c r="B11" s="74">
        <f>E11+1365</f>
        <v>2453</v>
      </c>
      <c r="C11" s="74">
        <f>F11+1425</f>
        <v>2735</v>
      </c>
      <c r="D11" s="74">
        <f>G11+1388</f>
        <v>2685</v>
      </c>
      <c r="E11" s="75">
        <v>1088</v>
      </c>
      <c r="F11" s="75">
        <v>1310</v>
      </c>
      <c r="G11" s="75">
        <v>1297</v>
      </c>
      <c r="H11" s="74">
        <f>K11+1423</f>
        <v>2670</v>
      </c>
      <c r="I11" s="74">
        <f>L11+1397</f>
        <v>2580</v>
      </c>
      <c r="J11" s="74">
        <f>M11+1286</f>
        <v>2916</v>
      </c>
      <c r="K11" s="74">
        <v>1247</v>
      </c>
      <c r="L11" s="74">
        <v>1183</v>
      </c>
      <c r="M11" s="74">
        <v>1630</v>
      </c>
    </row>
    <row r="12" spans="1:13" ht="12.75">
      <c r="A12" s="32"/>
      <c r="B12" s="74"/>
      <c r="C12" s="74"/>
      <c r="D12" s="74"/>
      <c r="E12" s="75"/>
      <c r="F12" s="75"/>
      <c r="G12" s="75"/>
      <c r="H12" s="74"/>
      <c r="I12" s="74"/>
      <c r="J12" s="74"/>
      <c r="K12" s="74"/>
      <c r="L12" s="74"/>
      <c r="M12" s="74"/>
    </row>
    <row r="13" spans="1:13" ht="12.75">
      <c r="A13" s="32" t="s">
        <v>24</v>
      </c>
      <c r="B13" s="74">
        <f>E13+1440</f>
        <v>2449</v>
      </c>
      <c r="C13" s="74">
        <f>F13+1405</f>
        <v>2688</v>
      </c>
      <c r="D13" s="74">
        <f>G13+1461</f>
        <v>2663</v>
      </c>
      <c r="E13" s="75">
        <v>1009</v>
      </c>
      <c r="F13" s="75">
        <v>1283</v>
      </c>
      <c r="G13" s="75">
        <v>1202</v>
      </c>
      <c r="H13" s="74">
        <f>K13+1457</f>
        <v>3069</v>
      </c>
      <c r="I13" s="74">
        <f>L13+1379</f>
        <v>2559</v>
      </c>
      <c r="J13" s="74">
        <f>M13+1375</f>
        <v>2427</v>
      </c>
      <c r="K13" s="74">
        <v>1612</v>
      </c>
      <c r="L13" s="74">
        <v>1180</v>
      </c>
      <c r="M13" s="74">
        <v>1052</v>
      </c>
    </row>
    <row r="14" spans="1:13" ht="12.75">
      <c r="A14" s="32"/>
      <c r="B14" s="74"/>
      <c r="C14" s="74"/>
      <c r="D14" s="74"/>
      <c r="E14" s="75"/>
      <c r="F14" s="75"/>
      <c r="G14" s="75"/>
      <c r="H14" s="74"/>
      <c r="I14" s="74"/>
      <c r="J14" s="74"/>
      <c r="K14" s="74"/>
      <c r="L14" s="74"/>
      <c r="M14" s="74"/>
    </row>
    <row r="15" spans="1:13" ht="12.75">
      <c r="A15" s="32" t="s">
        <v>25</v>
      </c>
      <c r="B15" s="74">
        <f>E15+1989</f>
        <v>3405</v>
      </c>
      <c r="C15" s="74">
        <f>F15+1863</f>
        <v>3562</v>
      </c>
      <c r="D15" s="74">
        <f>G15+1823</f>
        <v>3338</v>
      </c>
      <c r="E15" s="75">
        <v>1416</v>
      </c>
      <c r="F15" s="75">
        <v>1699</v>
      </c>
      <c r="G15" s="75">
        <v>1515</v>
      </c>
      <c r="H15" s="74">
        <f>K15+2061</f>
        <v>3591</v>
      </c>
      <c r="I15" s="74">
        <f>L15+1898</f>
        <v>3211</v>
      </c>
      <c r="J15" s="74">
        <f>M15+1958</f>
        <v>3153</v>
      </c>
      <c r="K15" s="74">
        <v>1530</v>
      </c>
      <c r="L15" s="74">
        <v>1313</v>
      </c>
      <c r="M15" s="74">
        <v>1195</v>
      </c>
    </row>
    <row r="16" spans="1:13" ht="12.75">
      <c r="A16" s="32"/>
      <c r="B16" s="74"/>
      <c r="C16" s="74"/>
      <c r="D16" s="74"/>
      <c r="E16" s="75"/>
      <c r="F16" s="75"/>
      <c r="G16" s="75"/>
      <c r="H16" s="74"/>
      <c r="I16" s="74"/>
      <c r="J16" s="74"/>
      <c r="K16" s="74"/>
      <c r="L16" s="74"/>
      <c r="M16" s="74"/>
    </row>
    <row r="17" spans="1:13" ht="12.75">
      <c r="A17" s="32" t="s">
        <v>26</v>
      </c>
      <c r="B17" s="74">
        <f>E17+2020</f>
        <v>3331</v>
      </c>
      <c r="C17" s="74">
        <f>F17+2029</f>
        <v>3485</v>
      </c>
      <c r="D17" s="74">
        <f>G17+1928</f>
        <v>3258</v>
      </c>
      <c r="E17" s="75">
        <v>1311</v>
      </c>
      <c r="F17" s="75">
        <v>1456</v>
      </c>
      <c r="G17" s="75">
        <v>1330</v>
      </c>
      <c r="H17" s="74">
        <f>K17+1910</f>
        <v>3645</v>
      </c>
      <c r="I17" s="74">
        <f>L17+1930</f>
        <v>3285</v>
      </c>
      <c r="J17" s="74">
        <f>M17+1841</f>
        <v>3450</v>
      </c>
      <c r="K17" s="74">
        <v>1735</v>
      </c>
      <c r="L17" s="74">
        <v>1355</v>
      </c>
      <c r="M17" s="74">
        <v>1609</v>
      </c>
    </row>
    <row r="18" spans="1:13" ht="12.75">
      <c r="A18" s="32"/>
      <c r="B18" s="74"/>
      <c r="C18" s="74"/>
      <c r="D18" s="74"/>
      <c r="E18" s="75"/>
      <c r="F18" s="75"/>
      <c r="G18" s="75"/>
      <c r="H18" s="74"/>
      <c r="I18" s="74"/>
      <c r="J18" s="74"/>
      <c r="K18" s="74"/>
      <c r="L18" s="74"/>
      <c r="M18" s="74"/>
    </row>
    <row r="19" spans="1:13" ht="12.75">
      <c r="A19" s="32" t="s">
        <v>27</v>
      </c>
      <c r="B19" s="74">
        <f>E19+547</f>
        <v>996</v>
      </c>
      <c r="C19" s="74">
        <f>F19+568</f>
        <v>1027</v>
      </c>
      <c r="D19" s="74">
        <f>G19+545</f>
        <v>989</v>
      </c>
      <c r="E19" s="75">
        <v>449</v>
      </c>
      <c r="F19" s="75">
        <v>459</v>
      </c>
      <c r="G19" s="75">
        <v>444</v>
      </c>
      <c r="H19" s="74">
        <f>K19+523</f>
        <v>973</v>
      </c>
      <c r="I19" s="74">
        <f>L19+567</f>
        <v>982</v>
      </c>
      <c r="J19" s="74">
        <f>M19+491</f>
        <v>897</v>
      </c>
      <c r="K19" s="74">
        <v>450</v>
      </c>
      <c r="L19" s="74">
        <v>415</v>
      </c>
      <c r="M19" s="74">
        <v>406</v>
      </c>
    </row>
    <row r="20" spans="1:13" ht="12.75">
      <c r="A20" s="32"/>
      <c r="B20" s="74"/>
      <c r="C20" s="74"/>
      <c r="D20" s="74"/>
      <c r="E20" s="75"/>
      <c r="F20" s="75"/>
      <c r="G20" s="75"/>
      <c r="H20" s="74"/>
      <c r="I20" s="74"/>
      <c r="J20" s="74"/>
      <c r="K20" s="74"/>
      <c r="L20" s="74"/>
      <c r="M20" s="74"/>
    </row>
    <row r="21" spans="1:13" ht="12.75">
      <c r="A21" s="32" t="s">
        <v>28</v>
      </c>
      <c r="B21" s="74">
        <f>E21+1084</f>
        <v>1943</v>
      </c>
      <c r="C21" s="74">
        <f>F21+1029</f>
        <v>2023</v>
      </c>
      <c r="D21" s="74">
        <f>G21+1033</f>
        <v>2027</v>
      </c>
      <c r="E21" s="75">
        <v>859</v>
      </c>
      <c r="F21" s="75">
        <v>994</v>
      </c>
      <c r="G21" s="75">
        <v>994</v>
      </c>
      <c r="H21" s="74">
        <f>K21+1111</f>
        <v>1945</v>
      </c>
      <c r="I21" s="74">
        <f>L21+1024</f>
        <v>2245</v>
      </c>
      <c r="J21" s="74">
        <f>M21+995</f>
        <v>1938</v>
      </c>
      <c r="K21" s="74">
        <v>834</v>
      </c>
      <c r="L21" s="74">
        <v>1221</v>
      </c>
      <c r="M21" s="74">
        <v>943</v>
      </c>
    </row>
    <row r="22" spans="1:13" ht="12.75" customHeight="1">
      <c r="A22" s="32"/>
      <c r="B22" s="74"/>
      <c r="C22" s="74"/>
      <c r="D22" s="74"/>
      <c r="E22" s="75"/>
      <c r="F22" s="75"/>
      <c r="G22" s="75"/>
      <c r="H22" s="74"/>
      <c r="I22" s="74"/>
      <c r="J22" s="74"/>
      <c r="K22" s="74"/>
      <c r="L22" s="74"/>
      <c r="M22" s="74"/>
    </row>
    <row r="23" spans="1:13" ht="12.75">
      <c r="A23" s="33" t="s">
        <v>0</v>
      </c>
      <c r="B23" s="76">
        <f aca="true" t="shared" si="0" ref="B23:M23">SUM(B9:B22)</f>
        <v>17293</v>
      </c>
      <c r="C23" s="76">
        <f t="shared" si="0"/>
        <v>18423</v>
      </c>
      <c r="D23" s="76">
        <f t="shared" si="0"/>
        <v>17880</v>
      </c>
      <c r="E23" s="76">
        <f t="shared" si="0"/>
        <v>7385</v>
      </c>
      <c r="F23" s="76">
        <f t="shared" si="0"/>
        <v>8705</v>
      </c>
      <c r="G23" s="76">
        <f t="shared" si="0"/>
        <v>8337</v>
      </c>
      <c r="H23" s="76">
        <f t="shared" si="0"/>
        <v>18997</v>
      </c>
      <c r="I23" s="76">
        <f t="shared" si="0"/>
        <v>18694</v>
      </c>
      <c r="J23" s="76">
        <f t="shared" si="0"/>
        <v>17982</v>
      </c>
      <c r="K23" s="76">
        <f t="shared" si="0"/>
        <v>9089</v>
      </c>
      <c r="L23" s="76">
        <f t="shared" si="0"/>
        <v>8976</v>
      </c>
      <c r="M23" s="76">
        <f t="shared" si="0"/>
        <v>8439</v>
      </c>
    </row>
    <row r="24" ht="12.75" customHeight="1">
      <c r="A24" s="64"/>
    </row>
    <row r="25" ht="12.75" customHeight="1">
      <c r="A25" s="12"/>
    </row>
    <row r="27" spans="1:13" ht="12.75" customHeight="1">
      <c r="A27" s="92" t="s">
        <v>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32" t="s">
        <v>56</v>
      </c>
      <c r="B29" s="68">
        <v>583</v>
      </c>
      <c r="C29" s="68">
        <v>850</v>
      </c>
      <c r="D29" s="68">
        <v>818</v>
      </c>
      <c r="E29" s="68">
        <v>274</v>
      </c>
      <c r="F29" s="68">
        <v>422</v>
      </c>
      <c r="G29" s="68">
        <v>420</v>
      </c>
      <c r="H29" s="68">
        <v>633</v>
      </c>
      <c r="I29" s="68">
        <v>630</v>
      </c>
      <c r="J29" s="68">
        <v>669</v>
      </c>
      <c r="K29" s="68">
        <v>300</v>
      </c>
      <c r="L29" s="68">
        <v>285</v>
      </c>
      <c r="M29" s="68">
        <v>366</v>
      </c>
    </row>
    <row r="30" spans="1:13" ht="12.75">
      <c r="A30" s="32" t="s">
        <v>57</v>
      </c>
      <c r="B30" s="68">
        <v>1204</v>
      </c>
      <c r="C30" s="68">
        <v>1478</v>
      </c>
      <c r="D30" s="68">
        <v>1349</v>
      </c>
      <c r="E30" s="68">
        <v>600</v>
      </c>
      <c r="F30" s="68">
        <v>753</v>
      </c>
      <c r="G30" s="68">
        <v>717</v>
      </c>
      <c r="H30" s="68">
        <v>1299</v>
      </c>
      <c r="I30" s="68">
        <v>1674</v>
      </c>
      <c r="J30" s="68">
        <v>1439</v>
      </c>
      <c r="K30" s="68">
        <v>670</v>
      </c>
      <c r="L30" s="68">
        <v>984</v>
      </c>
      <c r="M30" s="68">
        <v>725</v>
      </c>
    </row>
    <row r="31" spans="1:13" ht="12.75">
      <c r="A31" s="32" t="s">
        <v>58</v>
      </c>
      <c r="B31" s="68">
        <v>938</v>
      </c>
      <c r="C31" s="68">
        <v>1169</v>
      </c>
      <c r="D31" s="68">
        <v>1206</v>
      </c>
      <c r="E31" s="68">
        <v>593</v>
      </c>
      <c r="F31" s="68">
        <v>763</v>
      </c>
      <c r="G31" s="68">
        <v>774</v>
      </c>
      <c r="H31" s="68">
        <v>1048</v>
      </c>
      <c r="I31" s="68">
        <v>1201</v>
      </c>
      <c r="J31" s="68">
        <v>1086</v>
      </c>
      <c r="K31" s="68">
        <v>613</v>
      </c>
      <c r="L31" s="68">
        <v>723</v>
      </c>
      <c r="M31" s="68">
        <v>650</v>
      </c>
    </row>
    <row r="32" spans="1:13" ht="12.75">
      <c r="A32" s="32" t="s">
        <v>59</v>
      </c>
      <c r="B32" s="68">
        <v>366</v>
      </c>
      <c r="C32" s="68">
        <v>355</v>
      </c>
      <c r="D32" s="68">
        <v>293</v>
      </c>
      <c r="E32" s="68">
        <v>163</v>
      </c>
      <c r="F32" s="68">
        <v>177</v>
      </c>
      <c r="G32" s="68">
        <v>117</v>
      </c>
      <c r="H32" s="68">
        <v>322</v>
      </c>
      <c r="I32" s="68">
        <v>383</v>
      </c>
      <c r="J32" s="68">
        <v>396</v>
      </c>
      <c r="K32" s="68">
        <v>113</v>
      </c>
      <c r="L32" s="68">
        <v>137</v>
      </c>
      <c r="M32" s="68">
        <v>143</v>
      </c>
    </row>
    <row r="33" spans="1:13" ht="12.75">
      <c r="A33" s="3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2.75">
      <c r="A34" s="32" t="s">
        <v>85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2.75">
      <c r="A35" s="32" t="s">
        <v>84</v>
      </c>
      <c r="B35" s="68">
        <f>SUM(B29:B34)</f>
        <v>3091</v>
      </c>
      <c r="C35" s="68">
        <f aca="true" t="shared" si="1" ref="C35:M35">SUM(C29:C34)</f>
        <v>3852</v>
      </c>
      <c r="D35" s="68">
        <f t="shared" si="1"/>
        <v>3666</v>
      </c>
      <c r="E35" s="68">
        <f t="shared" si="1"/>
        <v>1630</v>
      </c>
      <c r="F35" s="68">
        <f t="shared" si="1"/>
        <v>2115</v>
      </c>
      <c r="G35" s="68">
        <f t="shared" si="1"/>
        <v>2028</v>
      </c>
      <c r="H35" s="68">
        <f t="shared" si="1"/>
        <v>3302</v>
      </c>
      <c r="I35" s="68">
        <f t="shared" si="1"/>
        <v>3888</v>
      </c>
      <c r="J35" s="68">
        <f t="shared" si="1"/>
        <v>3590</v>
      </c>
      <c r="K35" s="68">
        <f t="shared" si="1"/>
        <v>1696</v>
      </c>
      <c r="L35" s="68">
        <f t="shared" si="1"/>
        <v>2129</v>
      </c>
      <c r="M35" s="68">
        <f t="shared" si="1"/>
        <v>1884</v>
      </c>
    </row>
    <row r="36" spans="1:13" ht="12.75">
      <c r="A36" s="32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2.75">
      <c r="A37" s="32" t="s">
        <v>8</v>
      </c>
      <c r="B37" s="68">
        <v>770</v>
      </c>
      <c r="C37" s="68">
        <v>1130</v>
      </c>
      <c r="D37" s="68">
        <v>861</v>
      </c>
      <c r="E37" s="68">
        <v>233</v>
      </c>
      <c r="F37" s="68">
        <v>271</v>
      </c>
      <c r="G37" s="68">
        <v>213</v>
      </c>
      <c r="H37" s="68">
        <v>772</v>
      </c>
      <c r="I37" s="68">
        <v>1045</v>
      </c>
      <c r="J37" s="68">
        <v>882</v>
      </c>
      <c r="K37" s="68">
        <v>162</v>
      </c>
      <c r="L37" s="68">
        <v>207</v>
      </c>
      <c r="M37" s="68">
        <v>219</v>
      </c>
    </row>
    <row r="38" spans="1:13" ht="12.75">
      <c r="A38" s="32" t="s">
        <v>9</v>
      </c>
      <c r="B38" s="68">
        <v>1308</v>
      </c>
      <c r="C38" s="68">
        <v>1187</v>
      </c>
      <c r="D38" s="68">
        <v>1110</v>
      </c>
      <c r="E38" s="68">
        <v>590</v>
      </c>
      <c r="F38" s="68">
        <v>625</v>
      </c>
      <c r="G38" s="68">
        <v>536</v>
      </c>
      <c r="H38" s="68">
        <v>1117</v>
      </c>
      <c r="I38" s="68">
        <v>1087</v>
      </c>
      <c r="J38" s="68">
        <v>1029</v>
      </c>
      <c r="K38" s="68">
        <v>425</v>
      </c>
      <c r="L38" s="68">
        <v>477</v>
      </c>
      <c r="M38" s="68">
        <v>474</v>
      </c>
    </row>
    <row r="39" spans="1:13" ht="12.75">
      <c r="A39" s="32" t="s">
        <v>10</v>
      </c>
      <c r="B39" s="68">
        <v>1192</v>
      </c>
      <c r="C39" s="68">
        <v>1201</v>
      </c>
      <c r="D39" s="68">
        <v>1083</v>
      </c>
      <c r="E39" s="68">
        <v>415</v>
      </c>
      <c r="F39" s="68">
        <v>454</v>
      </c>
      <c r="G39" s="68">
        <v>312</v>
      </c>
      <c r="H39" s="68">
        <v>1078</v>
      </c>
      <c r="I39" s="68">
        <v>1105</v>
      </c>
      <c r="J39" s="68">
        <v>1110</v>
      </c>
      <c r="K39" s="68">
        <v>279</v>
      </c>
      <c r="L39" s="68">
        <v>308</v>
      </c>
      <c r="M39" s="68">
        <v>304</v>
      </c>
    </row>
    <row r="40" spans="1:13" ht="12.75">
      <c r="A40" s="32" t="s">
        <v>11</v>
      </c>
      <c r="B40" s="68">
        <v>1414</v>
      </c>
      <c r="C40" s="68">
        <v>1378</v>
      </c>
      <c r="D40" s="68">
        <v>1278</v>
      </c>
      <c r="E40" s="68">
        <v>535</v>
      </c>
      <c r="F40" s="68">
        <v>523</v>
      </c>
      <c r="G40" s="68">
        <v>452</v>
      </c>
      <c r="H40" s="68">
        <v>1197</v>
      </c>
      <c r="I40" s="68">
        <v>1249</v>
      </c>
      <c r="J40" s="68">
        <v>1276</v>
      </c>
      <c r="K40" s="68">
        <v>367</v>
      </c>
      <c r="L40" s="68">
        <v>407</v>
      </c>
      <c r="M40" s="68">
        <v>467</v>
      </c>
    </row>
    <row r="41" spans="1:13" ht="12.75">
      <c r="A41" s="3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2.75">
      <c r="A42" s="32" t="s">
        <v>12</v>
      </c>
      <c r="B42" s="68">
        <v>1952</v>
      </c>
      <c r="C42" s="68">
        <v>2105</v>
      </c>
      <c r="D42" s="68">
        <v>1953</v>
      </c>
      <c r="E42" s="68">
        <v>1008</v>
      </c>
      <c r="F42" s="68">
        <v>1116</v>
      </c>
      <c r="G42" s="68">
        <v>959</v>
      </c>
      <c r="H42" s="68">
        <v>1738</v>
      </c>
      <c r="I42" s="68">
        <v>1837</v>
      </c>
      <c r="J42" s="68">
        <v>1793</v>
      </c>
      <c r="K42" s="68">
        <v>798</v>
      </c>
      <c r="L42" s="68">
        <v>841</v>
      </c>
      <c r="M42" s="68">
        <v>720</v>
      </c>
    </row>
    <row r="43" spans="1:13" ht="12.75">
      <c r="A43" s="32" t="s">
        <v>13</v>
      </c>
      <c r="B43" s="68">
        <v>928</v>
      </c>
      <c r="C43" s="68">
        <v>931</v>
      </c>
      <c r="D43" s="68">
        <v>854</v>
      </c>
      <c r="E43" s="68">
        <v>268</v>
      </c>
      <c r="F43" s="68">
        <v>214</v>
      </c>
      <c r="G43" s="68">
        <v>171</v>
      </c>
      <c r="H43" s="68">
        <v>768</v>
      </c>
      <c r="I43" s="68">
        <v>875</v>
      </c>
      <c r="J43" s="68">
        <v>767</v>
      </c>
      <c r="K43" s="68">
        <v>176</v>
      </c>
      <c r="L43" s="68">
        <v>173</v>
      </c>
      <c r="M43" s="68">
        <v>162</v>
      </c>
    </row>
    <row r="44" spans="1:13" ht="12.75">
      <c r="A44" s="32" t="s">
        <v>14</v>
      </c>
      <c r="B44" s="68">
        <v>1830</v>
      </c>
      <c r="C44" s="68">
        <v>1968</v>
      </c>
      <c r="D44" s="68">
        <v>1742</v>
      </c>
      <c r="E44" s="68">
        <v>445</v>
      </c>
      <c r="F44" s="68">
        <v>464</v>
      </c>
      <c r="G44" s="68">
        <v>417</v>
      </c>
      <c r="H44" s="68">
        <v>1822</v>
      </c>
      <c r="I44" s="68">
        <v>1772</v>
      </c>
      <c r="J44" s="68">
        <v>1678</v>
      </c>
      <c r="K44" s="68">
        <v>468</v>
      </c>
      <c r="L44" s="68">
        <v>346</v>
      </c>
      <c r="M44" s="68">
        <v>417</v>
      </c>
    </row>
    <row r="45" spans="1:13" ht="12.75">
      <c r="A45" s="32" t="s">
        <v>15</v>
      </c>
      <c r="B45" s="68">
        <v>1514</v>
      </c>
      <c r="C45" s="68">
        <v>1510</v>
      </c>
      <c r="D45" s="68">
        <v>1311</v>
      </c>
      <c r="E45" s="68">
        <v>371</v>
      </c>
      <c r="F45" s="68">
        <v>363</v>
      </c>
      <c r="G45" s="68">
        <v>302</v>
      </c>
      <c r="H45" s="68">
        <v>1385</v>
      </c>
      <c r="I45" s="68">
        <v>1454</v>
      </c>
      <c r="J45" s="68">
        <v>1334</v>
      </c>
      <c r="K45" s="68">
        <v>275</v>
      </c>
      <c r="L45" s="68">
        <v>297</v>
      </c>
      <c r="M45" s="68">
        <v>291</v>
      </c>
    </row>
    <row r="46" spans="1:13" ht="12.75">
      <c r="A46" s="3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2.75">
      <c r="A47" s="32" t="s">
        <v>16</v>
      </c>
      <c r="B47" s="68">
        <v>1844</v>
      </c>
      <c r="C47" s="68">
        <v>1807</v>
      </c>
      <c r="D47" s="68">
        <v>1753</v>
      </c>
      <c r="E47" s="68">
        <v>830</v>
      </c>
      <c r="F47" s="68">
        <v>823</v>
      </c>
      <c r="G47" s="68">
        <v>753</v>
      </c>
      <c r="H47" s="68">
        <v>1757</v>
      </c>
      <c r="I47" s="68">
        <v>1732</v>
      </c>
      <c r="J47" s="68">
        <v>1547</v>
      </c>
      <c r="K47" s="68">
        <v>676</v>
      </c>
      <c r="L47" s="68">
        <v>668</v>
      </c>
      <c r="M47" s="68">
        <v>585</v>
      </c>
    </row>
    <row r="48" spans="1:13" ht="12.75">
      <c r="A48" s="32" t="s">
        <v>17</v>
      </c>
      <c r="B48" s="68">
        <v>985</v>
      </c>
      <c r="C48" s="68">
        <v>837</v>
      </c>
      <c r="D48" s="68">
        <v>825</v>
      </c>
      <c r="E48" s="68">
        <v>283</v>
      </c>
      <c r="F48" s="68">
        <v>228</v>
      </c>
      <c r="G48" s="68">
        <v>212</v>
      </c>
      <c r="H48" s="68">
        <v>847</v>
      </c>
      <c r="I48" s="68">
        <v>814</v>
      </c>
      <c r="J48" s="68">
        <v>756</v>
      </c>
      <c r="K48" s="68">
        <v>191</v>
      </c>
      <c r="L48" s="68">
        <v>226</v>
      </c>
      <c r="M48" s="68">
        <v>191</v>
      </c>
    </row>
    <row r="49" spans="1:13" ht="12.75">
      <c r="A49" s="32" t="s">
        <v>18</v>
      </c>
      <c r="B49" s="68">
        <v>1600</v>
      </c>
      <c r="C49" s="68">
        <v>1582</v>
      </c>
      <c r="D49" s="68">
        <v>1439</v>
      </c>
      <c r="E49" s="68">
        <v>893</v>
      </c>
      <c r="F49" s="68">
        <v>849</v>
      </c>
      <c r="G49" s="68">
        <v>794</v>
      </c>
      <c r="H49" s="68">
        <v>1215</v>
      </c>
      <c r="I49" s="68">
        <v>1275</v>
      </c>
      <c r="J49" s="68">
        <v>1189</v>
      </c>
      <c r="K49" s="68">
        <v>558</v>
      </c>
      <c r="L49" s="68">
        <v>611</v>
      </c>
      <c r="M49" s="68">
        <v>511</v>
      </c>
    </row>
    <row r="50" spans="1:13" ht="12.75">
      <c r="A50" s="3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2.75">
      <c r="A51" s="32" t="s">
        <v>60</v>
      </c>
      <c r="B51" s="68">
        <f>SUM(B37:B50)</f>
        <v>15337</v>
      </c>
      <c r="C51" s="68">
        <f aca="true" t="shared" si="2" ref="C51:M51">SUM(C37:C50)</f>
        <v>15636</v>
      </c>
      <c r="D51" s="68">
        <f t="shared" si="2"/>
        <v>14209</v>
      </c>
      <c r="E51" s="68">
        <f t="shared" si="2"/>
        <v>5871</v>
      </c>
      <c r="F51" s="68">
        <f t="shared" si="2"/>
        <v>5930</v>
      </c>
      <c r="G51" s="68">
        <f t="shared" si="2"/>
        <v>5121</v>
      </c>
      <c r="H51" s="68">
        <f t="shared" si="2"/>
        <v>13696</v>
      </c>
      <c r="I51" s="68">
        <f t="shared" si="2"/>
        <v>14245</v>
      </c>
      <c r="J51" s="68">
        <f t="shared" si="2"/>
        <v>13361</v>
      </c>
      <c r="K51" s="68">
        <f t="shared" si="2"/>
        <v>4375</v>
      </c>
      <c r="L51" s="68">
        <f t="shared" si="2"/>
        <v>4561</v>
      </c>
      <c r="M51" s="68">
        <f t="shared" si="2"/>
        <v>4341</v>
      </c>
    </row>
    <row r="52" spans="1:13" ht="12.75">
      <c r="A52" s="3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2.75">
      <c r="A53" s="33" t="s">
        <v>4</v>
      </c>
      <c r="B53" s="69">
        <f>B35+B51</f>
        <v>18428</v>
      </c>
      <c r="C53" s="69">
        <f aca="true" t="shared" si="3" ref="C53:M53">C35+C51</f>
        <v>19488</v>
      </c>
      <c r="D53" s="69">
        <f t="shared" si="3"/>
        <v>17875</v>
      </c>
      <c r="E53" s="69">
        <f t="shared" si="3"/>
        <v>7501</v>
      </c>
      <c r="F53" s="69">
        <f t="shared" si="3"/>
        <v>8045</v>
      </c>
      <c r="G53" s="69">
        <f t="shared" si="3"/>
        <v>7149</v>
      </c>
      <c r="H53" s="69">
        <f t="shared" si="3"/>
        <v>16998</v>
      </c>
      <c r="I53" s="69">
        <f t="shared" si="3"/>
        <v>18133</v>
      </c>
      <c r="J53" s="69">
        <f t="shared" si="3"/>
        <v>16951</v>
      </c>
      <c r="K53" s="69">
        <f t="shared" si="3"/>
        <v>6071</v>
      </c>
      <c r="L53" s="69">
        <f t="shared" si="3"/>
        <v>6690</v>
      </c>
      <c r="M53" s="69">
        <f t="shared" si="3"/>
        <v>6225</v>
      </c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6" customFormat="1" ht="12.75" customHeight="1">
      <c r="A55" s="40" t="s">
        <v>71</v>
      </c>
      <c r="B55"/>
      <c r="C55"/>
      <c r="D55"/>
      <c r="E55"/>
      <c r="F55"/>
      <c r="G55"/>
      <c r="H55"/>
      <c r="I55"/>
      <c r="J55"/>
      <c r="K55"/>
      <c r="L55"/>
      <c r="M55"/>
    </row>
    <row r="56" ht="12.75" customHeight="1">
      <c r="A56" s="63" t="s">
        <v>72</v>
      </c>
    </row>
    <row r="57" ht="6.75" customHeight="1">
      <c r="A57" s="12"/>
    </row>
    <row r="58" ht="12.75">
      <c r="O58" s="70"/>
    </row>
    <row r="59" spans="8:15" ht="12.75">
      <c r="H59" s="70"/>
      <c r="O59" s="70"/>
    </row>
    <row r="60" ht="12.75">
      <c r="O60" s="70"/>
    </row>
  </sheetData>
  <mergeCells count="10">
    <mergeCell ref="A1:M1"/>
    <mergeCell ref="A7:M7"/>
    <mergeCell ref="A27:M27"/>
    <mergeCell ref="A3:A5"/>
    <mergeCell ref="B3:G3"/>
    <mergeCell ref="H3:M3"/>
    <mergeCell ref="B4:D4"/>
    <mergeCell ref="E4:G4"/>
    <mergeCell ref="H4:J4"/>
    <mergeCell ref="K4:M4"/>
  </mergeCells>
  <printOptions horizontalCentered="1"/>
  <pageMargins left="0.2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3.421875" style="0" customWidth="1"/>
    <col min="2" max="2" width="9.00390625" style="0" customWidth="1"/>
    <col min="3" max="3" width="7.8515625" style="0" customWidth="1"/>
    <col min="4" max="4" width="7.7109375" style="0" customWidth="1"/>
    <col min="5" max="5" width="9.00390625" style="0" customWidth="1"/>
    <col min="6" max="6" width="7.8515625" style="0" customWidth="1"/>
    <col min="7" max="7" width="7.7109375" style="0" customWidth="1"/>
    <col min="8" max="8" width="9.00390625" style="0" customWidth="1"/>
    <col min="9" max="9" width="8.28125" style="0" customWidth="1"/>
    <col min="10" max="10" width="7.7109375" style="0" customWidth="1"/>
  </cols>
  <sheetData>
    <row r="1" spans="1:10" ht="12.75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94"/>
    </row>
    <row r="3" spans="1:8" ht="12.75" customHeight="1">
      <c r="A3" s="59"/>
      <c r="B3" s="59"/>
      <c r="C3" s="59"/>
      <c r="D3" s="59"/>
      <c r="E3" s="59"/>
      <c r="F3" s="59"/>
      <c r="G3" s="59"/>
      <c r="H3" s="59"/>
    </row>
    <row r="4" spans="1:10" ht="12.75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</row>
    <row r="5" ht="12.75">
      <c r="A5" s="1"/>
    </row>
    <row r="6" spans="1:10" ht="12.75" customHeight="1">
      <c r="A6" s="93" t="s">
        <v>45</v>
      </c>
      <c r="B6" s="122" t="s">
        <v>19</v>
      </c>
      <c r="C6" s="123"/>
      <c r="D6" s="123"/>
      <c r="E6" s="122" t="s">
        <v>20</v>
      </c>
      <c r="F6" s="123"/>
      <c r="G6" s="109"/>
      <c r="H6" s="122" t="s">
        <v>30</v>
      </c>
      <c r="I6" s="123"/>
      <c r="J6" s="123"/>
    </row>
    <row r="7" spans="1:10" ht="12.75">
      <c r="A7" s="93"/>
      <c r="B7" s="127"/>
      <c r="C7" s="126"/>
      <c r="D7" s="126"/>
      <c r="E7" s="124"/>
      <c r="F7" s="125"/>
      <c r="G7" s="110"/>
      <c r="H7" s="124"/>
      <c r="I7" s="125"/>
      <c r="J7" s="125"/>
    </row>
    <row r="8" spans="1:10" ht="12.75">
      <c r="A8" s="126"/>
      <c r="B8" s="120" t="s">
        <v>5</v>
      </c>
      <c r="C8" s="120" t="s">
        <v>6</v>
      </c>
      <c r="D8" s="120" t="s">
        <v>7</v>
      </c>
      <c r="E8" s="120" t="s">
        <v>5</v>
      </c>
      <c r="F8" s="120" t="s">
        <v>6</v>
      </c>
      <c r="G8" s="120" t="s">
        <v>7</v>
      </c>
      <c r="H8" s="120" t="s">
        <v>5</v>
      </c>
      <c r="I8" s="120" t="s">
        <v>6</v>
      </c>
      <c r="J8" s="122" t="s">
        <v>7</v>
      </c>
    </row>
    <row r="9" spans="1:10" ht="12.75">
      <c r="A9" s="125"/>
      <c r="B9" s="121"/>
      <c r="C9" s="121"/>
      <c r="D9" s="121"/>
      <c r="E9" s="121"/>
      <c r="F9" s="121"/>
      <c r="G9" s="121"/>
      <c r="H9" s="121"/>
      <c r="I9" s="121"/>
      <c r="J9" s="124"/>
    </row>
    <row r="10" spans="1:10" ht="9" customHeight="1">
      <c r="A10" s="7"/>
      <c r="D10" s="2"/>
      <c r="G10" s="2"/>
      <c r="H10" s="51"/>
      <c r="I10" s="54"/>
      <c r="J10" s="54"/>
    </row>
    <row r="11" spans="1:10" ht="12.75">
      <c r="A11" s="11" t="s">
        <v>31</v>
      </c>
      <c r="B11" s="70">
        <v>713</v>
      </c>
      <c r="C11" s="70">
        <v>357</v>
      </c>
      <c r="D11" s="77">
        <v>356</v>
      </c>
      <c r="E11" s="78">
        <v>656</v>
      </c>
      <c r="F11" s="78">
        <v>308</v>
      </c>
      <c r="G11" s="77">
        <v>348</v>
      </c>
      <c r="H11" s="85">
        <f>B11-E11</f>
        <v>57</v>
      </c>
      <c r="I11" s="72">
        <f>C11-F11</f>
        <v>49</v>
      </c>
      <c r="J11" s="72">
        <f>D11-G11</f>
        <v>8</v>
      </c>
    </row>
    <row r="12" spans="1:10" ht="12.75">
      <c r="A12" s="11"/>
      <c r="B12" s="70"/>
      <c r="C12" s="70"/>
      <c r="D12" s="77"/>
      <c r="E12" s="70"/>
      <c r="F12" s="70"/>
      <c r="G12" s="77"/>
      <c r="H12" s="85"/>
      <c r="I12" s="72"/>
      <c r="J12" s="72"/>
    </row>
    <row r="13" spans="1:10" ht="12.75">
      <c r="A13" s="11" t="s">
        <v>32</v>
      </c>
      <c r="B13" s="70">
        <v>806</v>
      </c>
      <c r="C13" s="70">
        <v>413</v>
      </c>
      <c r="D13" s="77">
        <v>393</v>
      </c>
      <c r="E13" s="78">
        <v>685</v>
      </c>
      <c r="F13" s="78">
        <v>361</v>
      </c>
      <c r="G13" s="77">
        <v>324</v>
      </c>
      <c r="H13" s="85">
        <f>B13-E13</f>
        <v>121</v>
      </c>
      <c r="I13" s="72">
        <f aca="true" t="shared" si="0" ref="I13:J45">C13-F13</f>
        <v>52</v>
      </c>
      <c r="J13" s="72">
        <f t="shared" si="0"/>
        <v>69</v>
      </c>
    </row>
    <row r="14" spans="1:10" ht="12.75">
      <c r="A14" s="11"/>
      <c r="B14" s="70"/>
      <c r="C14" s="70"/>
      <c r="D14" s="77"/>
      <c r="E14" s="70"/>
      <c r="F14" s="70"/>
      <c r="G14" s="77"/>
      <c r="H14" s="85"/>
      <c r="I14" s="72"/>
      <c r="J14" s="72"/>
    </row>
    <row r="15" spans="1:10" ht="12.75">
      <c r="A15" s="11" t="s">
        <v>33</v>
      </c>
      <c r="B15" s="70">
        <v>736</v>
      </c>
      <c r="C15" s="70">
        <v>378</v>
      </c>
      <c r="D15" s="77">
        <v>358</v>
      </c>
      <c r="E15" s="78">
        <v>736</v>
      </c>
      <c r="F15" s="78">
        <v>361</v>
      </c>
      <c r="G15" s="77">
        <v>375</v>
      </c>
      <c r="H15" s="84">
        <v>0</v>
      </c>
      <c r="I15" s="72">
        <f t="shared" si="0"/>
        <v>17</v>
      </c>
      <c r="J15" s="72">
        <f t="shared" si="0"/>
        <v>-17</v>
      </c>
    </row>
    <row r="16" spans="1:10" ht="12.75">
      <c r="A16" s="11"/>
      <c r="B16" s="70"/>
      <c r="C16" s="70"/>
      <c r="D16" s="77"/>
      <c r="E16" s="70"/>
      <c r="F16" s="70"/>
      <c r="G16" s="77"/>
      <c r="H16" s="85"/>
      <c r="I16" s="72"/>
      <c r="J16" s="72"/>
    </row>
    <row r="17" spans="1:10" ht="12.75">
      <c r="A17" s="11" t="s">
        <v>34</v>
      </c>
      <c r="B17" s="70">
        <v>519</v>
      </c>
      <c r="C17" s="70">
        <v>253</v>
      </c>
      <c r="D17" s="77">
        <v>266</v>
      </c>
      <c r="E17" s="78">
        <v>149</v>
      </c>
      <c r="F17" s="78">
        <v>79</v>
      </c>
      <c r="G17" s="77">
        <v>70</v>
      </c>
      <c r="H17" s="85">
        <f>B17-E17</f>
        <v>370</v>
      </c>
      <c r="I17" s="72">
        <f t="shared" si="0"/>
        <v>174</v>
      </c>
      <c r="J17" s="72">
        <f t="shared" si="0"/>
        <v>196</v>
      </c>
    </row>
    <row r="18" spans="1:10" ht="12.75">
      <c r="A18" s="11"/>
      <c r="B18" s="70"/>
      <c r="C18" s="70"/>
      <c r="D18" s="77"/>
      <c r="E18" s="70"/>
      <c r="F18" s="70"/>
      <c r="G18" s="77"/>
      <c r="H18" s="85"/>
      <c r="I18" s="72"/>
      <c r="J18" s="72"/>
    </row>
    <row r="19" spans="1:10" ht="12.75">
      <c r="A19" s="11" t="s">
        <v>35</v>
      </c>
      <c r="B19" s="70">
        <v>300</v>
      </c>
      <c r="C19" s="70">
        <v>161</v>
      </c>
      <c r="D19" s="77">
        <v>139</v>
      </c>
      <c r="E19" s="78">
        <v>249</v>
      </c>
      <c r="F19" s="78">
        <v>144</v>
      </c>
      <c r="G19" s="77">
        <v>105</v>
      </c>
      <c r="H19" s="85">
        <f>B19-E19</f>
        <v>51</v>
      </c>
      <c r="I19" s="72">
        <f t="shared" si="0"/>
        <v>17</v>
      </c>
      <c r="J19" s="72">
        <f t="shared" si="0"/>
        <v>34</v>
      </c>
    </row>
    <row r="20" spans="1:10" ht="12.75">
      <c r="A20" s="11"/>
      <c r="B20" s="70"/>
      <c r="C20" s="70"/>
      <c r="D20" s="77"/>
      <c r="E20" s="70"/>
      <c r="F20" s="70"/>
      <c r="G20" s="77"/>
      <c r="H20" s="85"/>
      <c r="I20" s="72"/>
      <c r="J20" s="72"/>
    </row>
    <row r="21" spans="1:10" ht="12.75">
      <c r="A21" s="11" t="s">
        <v>46</v>
      </c>
      <c r="B21" s="70">
        <v>686</v>
      </c>
      <c r="C21" s="70">
        <v>316</v>
      </c>
      <c r="D21" s="77">
        <v>370</v>
      </c>
      <c r="E21" s="78">
        <v>486</v>
      </c>
      <c r="F21" s="78">
        <v>247</v>
      </c>
      <c r="G21" s="77">
        <v>239</v>
      </c>
      <c r="H21" s="85">
        <f>B21-E21</f>
        <v>200</v>
      </c>
      <c r="I21" s="72">
        <f t="shared" si="0"/>
        <v>69</v>
      </c>
      <c r="J21" s="72">
        <f t="shared" si="0"/>
        <v>131</v>
      </c>
    </row>
    <row r="22" spans="1:10" ht="12.75">
      <c r="A22" s="11"/>
      <c r="B22" s="70"/>
      <c r="C22" s="70"/>
      <c r="D22" s="77"/>
      <c r="E22" s="70"/>
      <c r="F22" s="70"/>
      <c r="G22" s="77"/>
      <c r="H22" s="85"/>
      <c r="I22" s="72"/>
      <c r="J22" s="72"/>
    </row>
    <row r="23" spans="1:10" ht="12.75">
      <c r="A23" s="11" t="s">
        <v>36</v>
      </c>
      <c r="B23" s="70">
        <v>1722</v>
      </c>
      <c r="C23" s="70">
        <v>818</v>
      </c>
      <c r="D23" s="77">
        <v>904</v>
      </c>
      <c r="E23" s="78">
        <v>567</v>
      </c>
      <c r="F23" s="78">
        <v>306</v>
      </c>
      <c r="G23" s="77">
        <v>261</v>
      </c>
      <c r="H23" s="85">
        <f>B23-E23</f>
        <v>1155</v>
      </c>
      <c r="I23" s="72">
        <f t="shared" si="0"/>
        <v>512</v>
      </c>
      <c r="J23" s="72">
        <f t="shared" si="0"/>
        <v>643</v>
      </c>
    </row>
    <row r="24" spans="1:10" ht="12.75">
      <c r="A24" s="11"/>
      <c r="B24" s="70"/>
      <c r="C24" s="70"/>
      <c r="D24" s="77"/>
      <c r="E24" s="70"/>
      <c r="F24" s="70"/>
      <c r="G24" s="77"/>
      <c r="H24" s="85"/>
      <c r="I24" s="72"/>
      <c r="J24" s="72"/>
    </row>
    <row r="25" spans="1:10" ht="12.75">
      <c r="A25" s="11" t="s">
        <v>37</v>
      </c>
      <c r="B25" s="70">
        <v>3399</v>
      </c>
      <c r="C25" s="70">
        <v>1715</v>
      </c>
      <c r="D25" s="77">
        <v>1684</v>
      </c>
      <c r="E25" s="78">
        <v>3380</v>
      </c>
      <c r="F25" s="78">
        <v>1640</v>
      </c>
      <c r="G25" s="77">
        <v>1740</v>
      </c>
      <c r="H25" s="85">
        <f>B25-E25</f>
        <v>19</v>
      </c>
      <c r="I25" s="72">
        <f t="shared" si="0"/>
        <v>75</v>
      </c>
      <c r="J25" s="72">
        <f t="shared" si="0"/>
        <v>-56</v>
      </c>
    </row>
    <row r="26" spans="1:10" ht="12.75">
      <c r="A26" s="11"/>
      <c r="B26" s="70"/>
      <c r="C26" s="70"/>
      <c r="D26" s="77"/>
      <c r="E26" s="70"/>
      <c r="F26" s="70"/>
      <c r="G26" s="77"/>
      <c r="H26" s="85"/>
      <c r="I26" s="72"/>
      <c r="J26" s="72"/>
    </row>
    <row r="27" spans="1:10" ht="12.75">
      <c r="A27" s="11" t="s">
        <v>38</v>
      </c>
      <c r="B27" s="70">
        <v>1760</v>
      </c>
      <c r="C27" s="70">
        <v>923</v>
      </c>
      <c r="D27" s="77">
        <v>837</v>
      </c>
      <c r="E27" s="78">
        <v>1209</v>
      </c>
      <c r="F27" s="78">
        <v>609</v>
      </c>
      <c r="G27" s="77">
        <v>600</v>
      </c>
      <c r="H27" s="85">
        <f>B27-E27</f>
        <v>551</v>
      </c>
      <c r="I27" s="72">
        <f t="shared" si="0"/>
        <v>314</v>
      </c>
      <c r="J27" s="72">
        <f t="shared" si="0"/>
        <v>237</v>
      </c>
    </row>
    <row r="28" spans="1:10" ht="12.75">
      <c r="A28" s="11"/>
      <c r="B28" s="70"/>
      <c r="C28" s="70"/>
      <c r="D28" s="77"/>
      <c r="E28" s="70"/>
      <c r="F28" s="70"/>
      <c r="G28" s="77"/>
      <c r="H28" s="85"/>
      <c r="I28" s="72"/>
      <c r="J28" s="72"/>
    </row>
    <row r="29" spans="1:10" ht="12.75">
      <c r="A29" s="11" t="s">
        <v>39</v>
      </c>
      <c r="B29" s="70">
        <v>233</v>
      </c>
      <c r="C29" s="70">
        <v>125</v>
      </c>
      <c r="D29" s="77">
        <v>108</v>
      </c>
      <c r="E29" s="78">
        <v>200</v>
      </c>
      <c r="F29" s="78">
        <v>103</v>
      </c>
      <c r="G29" s="77">
        <v>97</v>
      </c>
      <c r="H29" s="85">
        <f>B29-E29</f>
        <v>33</v>
      </c>
      <c r="I29" s="72">
        <f t="shared" si="0"/>
        <v>22</v>
      </c>
      <c r="J29" s="72">
        <f t="shared" si="0"/>
        <v>11</v>
      </c>
    </row>
    <row r="30" spans="1:10" ht="12.75">
      <c r="A30" s="11"/>
      <c r="B30" s="70"/>
      <c r="C30" s="70"/>
      <c r="D30" s="77"/>
      <c r="E30" s="70"/>
      <c r="F30" s="70"/>
      <c r="G30" s="77"/>
      <c r="H30" s="85"/>
      <c r="I30" s="72"/>
      <c r="J30" s="72"/>
    </row>
    <row r="31" spans="1:10" ht="12.75">
      <c r="A31" s="11" t="s">
        <v>40</v>
      </c>
      <c r="B31" s="70">
        <v>59</v>
      </c>
      <c r="C31" s="70">
        <v>35</v>
      </c>
      <c r="D31" s="77">
        <v>24</v>
      </c>
      <c r="E31" s="78">
        <v>33</v>
      </c>
      <c r="F31" s="78">
        <v>18</v>
      </c>
      <c r="G31" s="77">
        <v>15</v>
      </c>
      <c r="H31" s="86">
        <f>B31-E31</f>
        <v>26</v>
      </c>
      <c r="I31" s="72">
        <f t="shared" si="0"/>
        <v>17</v>
      </c>
      <c r="J31" s="72">
        <f t="shared" si="0"/>
        <v>9</v>
      </c>
    </row>
    <row r="32" spans="1:10" ht="12.75">
      <c r="A32" s="3"/>
      <c r="B32" s="70"/>
      <c r="C32" s="70"/>
      <c r="D32" s="77"/>
      <c r="E32" s="70"/>
      <c r="F32" s="70"/>
      <c r="G32" s="77"/>
      <c r="H32" s="85"/>
      <c r="I32" s="72"/>
      <c r="J32" s="72"/>
    </row>
    <row r="33" spans="1:10" ht="12.75">
      <c r="A33" s="3" t="s">
        <v>41</v>
      </c>
      <c r="B33" s="70">
        <v>348</v>
      </c>
      <c r="C33" s="70">
        <v>169</v>
      </c>
      <c r="D33" s="77">
        <v>179</v>
      </c>
      <c r="E33" s="78">
        <v>150</v>
      </c>
      <c r="F33" s="78">
        <v>80</v>
      </c>
      <c r="G33" s="77">
        <v>70</v>
      </c>
      <c r="H33" s="85">
        <f>B33-E33</f>
        <v>198</v>
      </c>
      <c r="I33" s="72">
        <f t="shared" si="0"/>
        <v>89</v>
      </c>
      <c r="J33" s="72">
        <f t="shared" si="0"/>
        <v>109</v>
      </c>
    </row>
    <row r="34" spans="1:10" ht="12.75">
      <c r="A34" s="11"/>
      <c r="B34" s="70"/>
      <c r="C34" s="70"/>
      <c r="D34" s="77"/>
      <c r="E34" s="70"/>
      <c r="F34" s="70"/>
      <c r="G34" s="77"/>
      <c r="H34" s="85"/>
      <c r="I34" s="72"/>
      <c r="J34" s="72"/>
    </row>
    <row r="35" spans="1:10" ht="12.75">
      <c r="A35" s="11" t="s">
        <v>42</v>
      </c>
      <c r="B35" s="70">
        <v>312</v>
      </c>
      <c r="C35" s="70">
        <v>161</v>
      </c>
      <c r="D35" s="77">
        <v>151</v>
      </c>
      <c r="E35" s="78">
        <v>92</v>
      </c>
      <c r="F35" s="78">
        <v>48</v>
      </c>
      <c r="G35" s="77">
        <v>44</v>
      </c>
      <c r="H35" s="85">
        <f>B35-E35</f>
        <v>220</v>
      </c>
      <c r="I35" s="72">
        <f t="shared" si="0"/>
        <v>113</v>
      </c>
      <c r="J35" s="72">
        <f t="shared" si="0"/>
        <v>107</v>
      </c>
    </row>
    <row r="36" spans="1:10" ht="12.75">
      <c r="A36" s="11"/>
      <c r="B36" s="70"/>
      <c r="C36" s="70"/>
      <c r="D36" s="77"/>
      <c r="E36" s="70"/>
      <c r="F36" s="70"/>
      <c r="G36" s="77"/>
      <c r="H36" s="85"/>
      <c r="I36" s="72"/>
      <c r="J36" s="72"/>
    </row>
    <row r="37" spans="1:10" ht="12.75">
      <c r="A37" s="11" t="s">
        <v>4</v>
      </c>
      <c r="B37" s="70">
        <v>5115</v>
      </c>
      <c r="C37" s="70">
        <v>2636</v>
      </c>
      <c r="D37" s="77">
        <v>2479</v>
      </c>
      <c r="E37" s="78">
        <v>6419</v>
      </c>
      <c r="F37" s="78">
        <v>3171</v>
      </c>
      <c r="G37" s="77">
        <v>3248</v>
      </c>
      <c r="H37" s="85">
        <f>B37-E37</f>
        <v>-1304</v>
      </c>
      <c r="I37" s="72">
        <f t="shared" si="0"/>
        <v>-535</v>
      </c>
      <c r="J37" s="72">
        <f t="shared" si="0"/>
        <v>-769</v>
      </c>
    </row>
    <row r="38" spans="1:10" ht="12.75">
      <c r="A38" s="11"/>
      <c r="B38" s="70"/>
      <c r="C38" s="70"/>
      <c r="D38" s="77"/>
      <c r="E38" s="70"/>
      <c r="F38" s="70"/>
      <c r="G38" s="77"/>
      <c r="H38" s="85"/>
      <c r="I38" s="72"/>
      <c r="J38" s="72"/>
    </row>
    <row r="39" spans="1:10" ht="12.75">
      <c r="A39" s="11" t="s">
        <v>43</v>
      </c>
      <c r="B39" s="70">
        <v>200</v>
      </c>
      <c r="C39" s="70">
        <v>98</v>
      </c>
      <c r="D39" s="77">
        <v>102</v>
      </c>
      <c r="E39" s="78">
        <v>48</v>
      </c>
      <c r="F39" s="78">
        <v>27</v>
      </c>
      <c r="G39" s="77">
        <v>21</v>
      </c>
      <c r="H39" s="85">
        <f>B39-E39</f>
        <v>152</v>
      </c>
      <c r="I39" s="72">
        <f t="shared" si="0"/>
        <v>71</v>
      </c>
      <c r="J39" s="72">
        <f t="shared" si="0"/>
        <v>81</v>
      </c>
    </row>
    <row r="40" spans="1:10" ht="12.75" customHeight="1">
      <c r="A40" s="11"/>
      <c r="B40" s="70"/>
      <c r="C40" s="70"/>
      <c r="D40" s="77"/>
      <c r="E40" s="70"/>
      <c r="F40" s="70"/>
      <c r="G40" s="77"/>
      <c r="H40" s="85"/>
      <c r="I40" s="72"/>
      <c r="J40" s="72"/>
    </row>
    <row r="41" spans="1:10" ht="12.75">
      <c r="A41" s="11" t="s">
        <v>44</v>
      </c>
      <c r="B41" s="70">
        <f aca="true" t="shared" si="1" ref="B41:G41">SUM(B11:B40)</f>
        <v>16908</v>
      </c>
      <c r="C41" s="70">
        <f t="shared" si="1"/>
        <v>8558</v>
      </c>
      <c r="D41" s="77">
        <f t="shared" si="1"/>
        <v>8350</v>
      </c>
      <c r="E41" s="70">
        <f t="shared" si="1"/>
        <v>15059</v>
      </c>
      <c r="F41" s="70">
        <f t="shared" si="1"/>
        <v>7502</v>
      </c>
      <c r="G41" s="70">
        <f t="shared" si="1"/>
        <v>7557</v>
      </c>
      <c r="H41" s="85">
        <f>B41-E41</f>
        <v>1849</v>
      </c>
      <c r="I41" s="72">
        <f t="shared" si="0"/>
        <v>1056</v>
      </c>
      <c r="J41" s="72">
        <f t="shared" si="0"/>
        <v>793</v>
      </c>
    </row>
    <row r="42" spans="1:10" ht="12.75" customHeight="1">
      <c r="A42" s="11"/>
      <c r="B42" s="79"/>
      <c r="C42" s="80"/>
      <c r="D42" s="81"/>
      <c r="E42" s="80"/>
      <c r="F42" s="80"/>
      <c r="G42" s="81"/>
      <c r="H42" s="87"/>
      <c r="I42" s="72"/>
      <c r="J42" s="72"/>
    </row>
    <row r="43" spans="1:10" ht="12.75">
      <c r="A43" s="11" t="s">
        <v>74</v>
      </c>
      <c r="B43" s="70">
        <f>C43+D43</f>
        <v>7519</v>
      </c>
      <c r="C43" s="70">
        <f>1325+1644+1489</f>
        <v>4458</v>
      </c>
      <c r="D43" s="77">
        <f>790+1207+1064</f>
        <v>3061</v>
      </c>
      <c r="E43" s="70">
        <f>F43+G43</f>
        <v>11445</v>
      </c>
      <c r="F43" s="70">
        <f>2283+2380+2021</f>
        <v>6684</v>
      </c>
      <c r="G43" s="77">
        <f>1814+1466+1481</f>
        <v>4761</v>
      </c>
      <c r="H43" s="85">
        <f>B43-E43</f>
        <v>-3926</v>
      </c>
      <c r="I43" s="72">
        <f t="shared" si="0"/>
        <v>-2226</v>
      </c>
      <c r="J43" s="72">
        <f t="shared" si="0"/>
        <v>-1700</v>
      </c>
    </row>
    <row r="44" spans="1:10" ht="12.75">
      <c r="A44" s="3"/>
      <c r="B44" s="70"/>
      <c r="C44" s="70"/>
      <c r="D44" s="77"/>
      <c r="E44" s="70"/>
      <c r="F44" s="70"/>
      <c r="G44" s="77"/>
      <c r="H44" s="85"/>
      <c r="I44" s="72"/>
      <c r="J44" s="72"/>
    </row>
    <row r="45" spans="1:10" ht="12.75">
      <c r="A45" s="13" t="s">
        <v>62</v>
      </c>
      <c r="B45" s="82">
        <f aca="true" t="shared" si="2" ref="B45:G45">B41+B43</f>
        <v>24427</v>
      </c>
      <c r="C45" s="82">
        <f t="shared" si="2"/>
        <v>13016</v>
      </c>
      <c r="D45" s="83">
        <f t="shared" si="2"/>
        <v>11411</v>
      </c>
      <c r="E45" s="82">
        <f t="shared" si="2"/>
        <v>26504</v>
      </c>
      <c r="F45" s="82">
        <f t="shared" si="2"/>
        <v>14186</v>
      </c>
      <c r="G45" s="83">
        <f t="shared" si="2"/>
        <v>12318</v>
      </c>
      <c r="H45" s="88">
        <f>B45-E45</f>
        <v>-2077</v>
      </c>
      <c r="I45" s="73">
        <f t="shared" si="0"/>
        <v>-1170</v>
      </c>
      <c r="J45" s="73">
        <f t="shared" si="0"/>
        <v>-907</v>
      </c>
    </row>
    <row r="46" ht="7.5" customHeight="1">
      <c r="A46" s="40"/>
    </row>
    <row r="51" ht="12.75">
      <c r="A51" s="6"/>
    </row>
    <row r="52" ht="12.75">
      <c r="A52" s="6"/>
    </row>
    <row r="53" spans="1:10" ht="12.75">
      <c r="A53" s="94" t="s">
        <v>82</v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2.75">
      <c r="A54" s="94" t="s">
        <v>73</v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10" ht="12.75">
      <c r="A56" s="94" t="s">
        <v>4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8" ht="12.75">
      <c r="A57" s="1"/>
      <c r="B57" s="1"/>
      <c r="C57" s="1"/>
      <c r="D57" s="1"/>
      <c r="E57" s="4"/>
      <c r="F57" s="4"/>
      <c r="G57" s="4"/>
      <c r="H57" s="1"/>
    </row>
    <row r="58" spans="1:10" ht="12.75" customHeight="1">
      <c r="A58" s="109" t="s">
        <v>45</v>
      </c>
      <c r="B58" s="122" t="s">
        <v>19</v>
      </c>
      <c r="C58" s="123"/>
      <c r="D58" s="123"/>
      <c r="E58" s="122" t="s">
        <v>20</v>
      </c>
      <c r="F58" s="123"/>
      <c r="G58" s="109"/>
      <c r="H58" s="122" t="s">
        <v>30</v>
      </c>
      <c r="I58" s="123"/>
      <c r="J58" s="123"/>
    </row>
    <row r="59" spans="1:10" ht="12.75">
      <c r="A59" s="93"/>
      <c r="B59" s="127"/>
      <c r="C59" s="126"/>
      <c r="D59" s="126"/>
      <c r="E59" s="124"/>
      <c r="F59" s="125"/>
      <c r="G59" s="110"/>
      <c r="H59" s="124"/>
      <c r="I59" s="125"/>
      <c r="J59" s="125"/>
    </row>
    <row r="60" spans="1:10" ht="12.75">
      <c r="A60" s="93"/>
      <c r="B60" s="120" t="s">
        <v>5</v>
      </c>
      <c r="C60" s="120" t="s">
        <v>6</v>
      </c>
      <c r="D60" s="120" t="s">
        <v>7</v>
      </c>
      <c r="E60" s="120" t="s">
        <v>5</v>
      </c>
      <c r="F60" s="120" t="s">
        <v>6</v>
      </c>
      <c r="G60" s="120" t="s">
        <v>7</v>
      </c>
      <c r="H60" s="120" t="s">
        <v>5</v>
      </c>
      <c r="I60" s="120" t="s">
        <v>6</v>
      </c>
      <c r="J60" s="122" t="s">
        <v>7</v>
      </c>
    </row>
    <row r="61" spans="1:10" ht="12.75">
      <c r="A61" s="110"/>
      <c r="B61" s="121"/>
      <c r="C61" s="121"/>
      <c r="D61" s="121"/>
      <c r="E61" s="121"/>
      <c r="F61" s="121"/>
      <c r="G61" s="121"/>
      <c r="H61" s="121"/>
      <c r="I61" s="121"/>
      <c r="J61" s="124"/>
    </row>
    <row r="62" spans="1:10" ht="9" customHeight="1">
      <c r="A62" s="7"/>
      <c r="B62" s="22"/>
      <c r="C62" s="22"/>
      <c r="D62" s="23"/>
      <c r="E62" s="22"/>
      <c r="F62" s="22"/>
      <c r="G62" s="23"/>
      <c r="H62" s="71"/>
      <c r="I62" s="54"/>
      <c r="J62" s="54"/>
    </row>
    <row r="63" spans="1:10" ht="12.75">
      <c r="A63" s="11" t="s">
        <v>31</v>
      </c>
      <c r="B63" s="22">
        <f>C63+D63</f>
        <v>863</v>
      </c>
      <c r="C63" s="22">
        <v>413</v>
      </c>
      <c r="D63" s="24">
        <v>450</v>
      </c>
      <c r="E63" s="22">
        <f>F63+G63</f>
        <v>850</v>
      </c>
      <c r="F63" s="22">
        <v>440</v>
      </c>
      <c r="G63" s="24">
        <v>410</v>
      </c>
      <c r="H63" s="85">
        <f>SUM(B63-E63)</f>
        <v>13</v>
      </c>
      <c r="I63" s="72">
        <f>SUM(C63-F63)</f>
        <v>-27</v>
      </c>
      <c r="J63" s="72">
        <f>SUM(D63-G63)</f>
        <v>40</v>
      </c>
    </row>
    <row r="64" spans="1:10" ht="12.75">
      <c r="A64" s="11"/>
      <c r="B64" s="22"/>
      <c r="C64" s="22"/>
      <c r="D64" s="24"/>
      <c r="E64" s="22"/>
      <c r="F64" s="22"/>
      <c r="G64" s="24"/>
      <c r="H64" s="85">
        <f aca="true" t="shared" si="3" ref="H64:H97">SUM(B64-E64)</f>
        <v>0</v>
      </c>
      <c r="I64" s="72">
        <f aca="true" t="shared" si="4" ref="I64:I97">SUM(C64-F64)</f>
        <v>0</v>
      </c>
      <c r="J64" s="72">
        <f aca="true" t="shared" si="5" ref="J64:J97">SUM(D64-G64)</f>
        <v>0</v>
      </c>
    </row>
    <row r="65" spans="1:10" ht="12.75">
      <c r="A65" s="11" t="s">
        <v>32</v>
      </c>
      <c r="B65" s="22">
        <f aca="true" t="shared" si="6" ref="B65:B91">C65+D65</f>
        <v>786</v>
      </c>
      <c r="C65" s="22">
        <v>408</v>
      </c>
      <c r="D65" s="24">
        <v>378</v>
      </c>
      <c r="E65" s="22">
        <f aca="true" t="shared" si="7" ref="E65:E91">F65+G65</f>
        <v>863</v>
      </c>
      <c r="F65" s="22">
        <v>443</v>
      </c>
      <c r="G65" s="24">
        <v>420</v>
      </c>
      <c r="H65" s="85">
        <f t="shared" si="3"/>
        <v>-77</v>
      </c>
      <c r="I65" s="72">
        <f t="shared" si="4"/>
        <v>-35</v>
      </c>
      <c r="J65" s="72">
        <f t="shared" si="5"/>
        <v>-42</v>
      </c>
    </row>
    <row r="66" spans="1:10" ht="12.75">
      <c r="A66" s="11"/>
      <c r="B66" s="22"/>
      <c r="C66" s="22"/>
      <c r="D66" s="24"/>
      <c r="E66" s="22"/>
      <c r="F66" s="22"/>
      <c r="G66" s="24"/>
      <c r="H66" s="85">
        <f t="shared" si="3"/>
        <v>0</v>
      </c>
      <c r="I66" s="72">
        <f t="shared" si="4"/>
        <v>0</v>
      </c>
      <c r="J66" s="72">
        <f t="shared" si="5"/>
        <v>0</v>
      </c>
    </row>
    <row r="67" spans="1:10" ht="12.75">
      <c r="A67" s="11" t="s">
        <v>33</v>
      </c>
      <c r="B67" s="22">
        <f t="shared" si="6"/>
        <v>821</v>
      </c>
      <c r="C67" s="22">
        <v>416</v>
      </c>
      <c r="D67" s="24">
        <v>405</v>
      </c>
      <c r="E67" s="22">
        <f t="shared" si="7"/>
        <v>696</v>
      </c>
      <c r="F67" s="22">
        <v>361</v>
      </c>
      <c r="G67" s="24">
        <v>335</v>
      </c>
      <c r="H67" s="85">
        <f t="shared" si="3"/>
        <v>125</v>
      </c>
      <c r="I67" s="72">
        <f t="shared" si="4"/>
        <v>55</v>
      </c>
      <c r="J67" s="72">
        <f t="shared" si="5"/>
        <v>70</v>
      </c>
    </row>
    <row r="68" spans="1:10" ht="12.75">
      <c r="A68" s="11"/>
      <c r="B68" s="22"/>
      <c r="C68" s="22"/>
      <c r="D68" s="24"/>
      <c r="E68" s="22"/>
      <c r="F68" s="22"/>
      <c r="G68" s="24"/>
      <c r="H68" s="85">
        <f t="shared" si="3"/>
        <v>0</v>
      </c>
      <c r="I68" s="72">
        <f t="shared" si="4"/>
        <v>0</v>
      </c>
      <c r="J68" s="72">
        <f t="shared" si="5"/>
        <v>0</v>
      </c>
    </row>
    <row r="69" spans="1:10" ht="12.75">
      <c r="A69" s="11" t="s">
        <v>34</v>
      </c>
      <c r="B69" s="22">
        <f t="shared" si="6"/>
        <v>575</v>
      </c>
      <c r="C69" s="22">
        <v>241</v>
      </c>
      <c r="D69" s="24">
        <v>334</v>
      </c>
      <c r="E69" s="22">
        <f t="shared" si="7"/>
        <v>320</v>
      </c>
      <c r="F69" s="22">
        <v>163</v>
      </c>
      <c r="G69" s="24">
        <v>157</v>
      </c>
      <c r="H69" s="85">
        <f t="shared" si="3"/>
        <v>255</v>
      </c>
      <c r="I69" s="72">
        <f t="shared" si="4"/>
        <v>78</v>
      </c>
      <c r="J69" s="72">
        <f t="shared" si="5"/>
        <v>177</v>
      </c>
    </row>
    <row r="70" spans="1:10" ht="12.75">
      <c r="A70" s="11"/>
      <c r="B70" s="22"/>
      <c r="C70" s="22"/>
      <c r="D70" s="24"/>
      <c r="E70" s="22"/>
      <c r="F70" s="22"/>
      <c r="G70" s="24"/>
      <c r="H70" s="85">
        <f t="shared" si="3"/>
        <v>0</v>
      </c>
      <c r="I70" s="72">
        <f t="shared" si="4"/>
        <v>0</v>
      </c>
      <c r="J70" s="72">
        <f t="shared" si="5"/>
        <v>0</v>
      </c>
    </row>
    <row r="71" spans="1:10" ht="12.75">
      <c r="A71" s="11" t="s">
        <v>35</v>
      </c>
      <c r="B71" s="22">
        <f t="shared" si="6"/>
        <v>209</v>
      </c>
      <c r="C71" s="22">
        <v>100</v>
      </c>
      <c r="D71" s="24">
        <v>109</v>
      </c>
      <c r="E71" s="22">
        <f t="shared" si="7"/>
        <v>244</v>
      </c>
      <c r="F71" s="22">
        <v>122</v>
      </c>
      <c r="G71" s="24">
        <v>122</v>
      </c>
      <c r="H71" s="85">
        <f t="shared" si="3"/>
        <v>-35</v>
      </c>
      <c r="I71" s="72">
        <f t="shared" si="4"/>
        <v>-22</v>
      </c>
      <c r="J71" s="72">
        <f t="shared" si="5"/>
        <v>-13</v>
      </c>
    </row>
    <row r="72" spans="1:10" ht="12.75">
      <c r="A72" s="11"/>
      <c r="B72" s="22"/>
      <c r="C72" s="22"/>
      <c r="D72" s="24"/>
      <c r="E72" s="22"/>
      <c r="F72" s="22"/>
      <c r="G72" s="24"/>
      <c r="H72" s="85">
        <f t="shared" si="3"/>
        <v>0</v>
      </c>
      <c r="I72" s="72">
        <f t="shared" si="4"/>
        <v>0</v>
      </c>
      <c r="J72" s="72">
        <f t="shared" si="5"/>
        <v>0</v>
      </c>
    </row>
    <row r="73" spans="1:10" ht="12.75">
      <c r="A73" s="11" t="s">
        <v>0</v>
      </c>
      <c r="B73" s="22">
        <f>C73+D73</f>
        <v>6419</v>
      </c>
      <c r="C73" s="22">
        <v>3171</v>
      </c>
      <c r="D73" s="24">
        <v>3248</v>
      </c>
      <c r="E73" s="22">
        <f t="shared" si="7"/>
        <v>5115</v>
      </c>
      <c r="F73" s="22">
        <v>2636</v>
      </c>
      <c r="G73" s="24">
        <v>2479</v>
      </c>
      <c r="H73" s="85">
        <f t="shared" si="3"/>
        <v>1304</v>
      </c>
      <c r="I73" s="72">
        <f t="shared" si="4"/>
        <v>535</v>
      </c>
      <c r="J73" s="72">
        <f t="shared" si="5"/>
        <v>769</v>
      </c>
    </row>
    <row r="74" spans="1:10" ht="12.75">
      <c r="A74" s="11"/>
      <c r="B74" s="22"/>
      <c r="C74" s="22"/>
      <c r="D74" s="24"/>
      <c r="E74" s="22"/>
      <c r="F74" s="22"/>
      <c r="G74" s="24"/>
      <c r="H74" s="85">
        <f t="shared" si="3"/>
        <v>0</v>
      </c>
      <c r="I74" s="72">
        <f t="shared" si="4"/>
        <v>0</v>
      </c>
      <c r="J74" s="72">
        <f t="shared" si="5"/>
        <v>0</v>
      </c>
    </row>
    <row r="75" spans="1:10" ht="12.75">
      <c r="A75" s="11" t="s">
        <v>46</v>
      </c>
      <c r="B75" s="22">
        <f t="shared" si="6"/>
        <v>639</v>
      </c>
      <c r="C75" s="22">
        <v>306</v>
      </c>
      <c r="D75" s="24">
        <v>333</v>
      </c>
      <c r="E75" s="22">
        <f t="shared" si="7"/>
        <v>577</v>
      </c>
      <c r="F75" s="22">
        <v>288</v>
      </c>
      <c r="G75" s="24">
        <v>289</v>
      </c>
      <c r="H75" s="85">
        <f t="shared" si="3"/>
        <v>62</v>
      </c>
      <c r="I75" s="72">
        <f t="shared" si="4"/>
        <v>18</v>
      </c>
      <c r="J75" s="72">
        <f t="shared" si="5"/>
        <v>44</v>
      </c>
    </row>
    <row r="76" spans="1:10" ht="12.75">
      <c r="A76" s="11"/>
      <c r="B76" s="22"/>
      <c r="C76" s="22"/>
      <c r="D76" s="24"/>
      <c r="E76" s="22"/>
      <c r="F76" s="22"/>
      <c r="G76" s="24"/>
      <c r="H76" s="85">
        <f t="shared" si="3"/>
        <v>0</v>
      </c>
      <c r="I76" s="72">
        <f t="shared" si="4"/>
        <v>0</v>
      </c>
      <c r="J76" s="72">
        <f t="shared" si="5"/>
        <v>0</v>
      </c>
    </row>
    <row r="77" spans="1:10" ht="12.75">
      <c r="A77" s="11" t="s">
        <v>36</v>
      </c>
      <c r="B77" s="22">
        <f t="shared" si="6"/>
        <v>2043</v>
      </c>
      <c r="C77" s="22">
        <v>998</v>
      </c>
      <c r="D77" s="24">
        <v>1045</v>
      </c>
      <c r="E77" s="22">
        <f t="shared" si="7"/>
        <v>1095</v>
      </c>
      <c r="F77" s="22">
        <v>569</v>
      </c>
      <c r="G77" s="24">
        <v>526</v>
      </c>
      <c r="H77" s="85">
        <f t="shared" si="3"/>
        <v>948</v>
      </c>
      <c r="I77" s="72">
        <f t="shared" si="4"/>
        <v>429</v>
      </c>
      <c r="J77" s="72">
        <f t="shared" si="5"/>
        <v>519</v>
      </c>
    </row>
    <row r="78" spans="1:10" ht="12.75">
      <c r="A78" s="11"/>
      <c r="B78" s="22"/>
      <c r="C78" s="22"/>
      <c r="D78" s="24"/>
      <c r="E78" s="22"/>
      <c r="F78" s="22"/>
      <c r="G78" s="24"/>
      <c r="H78" s="85">
        <f t="shared" si="3"/>
        <v>0</v>
      </c>
      <c r="I78" s="72">
        <f t="shared" si="4"/>
        <v>0</v>
      </c>
      <c r="J78" s="72">
        <f t="shared" si="5"/>
        <v>0</v>
      </c>
    </row>
    <row r="79" spans="1:10" ht="12.75">
      <c r="A79" s="11" t="s">
        <v>37</v>
      </c>
      <c r="B79" s="22">
        <f t="shared" si="6"/>
        <v>2995</v>
      </c>
      <c r="C79" s="22">
        <v>1451</v>
      </c>
      <c r="D79" s="24">
        <v>1544</v>
      </c>
      <c r="E79" s="22">
        <f t="shared" si="7"/>
        <v>2446</v>
      </c>
      <c r="F79" s="22">
        <v>1237</v>
      </c>
      <c r="G79" s="24">
        <v>1209</v>
      </c>
      <c r="H79" s="85">
        <f t="shared" si="3"/>
        <v>549</v>
      </c>
      <c r="I79" s="72">
        <f t="shared" si="4"/>
        <v>214</v>
      </c>
      <c r="J79" s="72">
        <f t="shared" si="5"/>
        <v>335</v>
      </c>
    </row>
    <row r="80" spans="1:10" ht="12.75">
      <c r="A80" s="11"/>
      <c r="B80" s="22"/>
      <c r="C80" s="22"/>
      <c r="D80" s="24"/>
      <c r="E80" s="22"/>
      <c r="F80" s="22"/>
      <c r="G80" s="24"/>
      <c r="H80" s="85">
        <f t="shared" si="3"/>
        <v>0</v>
      </c>
      <c r="I80" s="72">
        <f t="shared" si="4"/>
        <v>0</v>
      </c>
      <c r="J80" s="72">
        <f t="shared" si="5"/>
        <v>0</v>
      </c>
    </row>
    <row r="81" spans="1:10" ht="12.75">
      <c r="A81" s="11" t="s">
        <v>38</v>
      </c>
      <c r="B81" s="22">
        <f t="shared" si="6"/>
        <v>1989</v>
      </c>
      <c r="C81" s="22">
        <v>994</v>
      </c>
      <c r="D81" s="24">
        <v>995</v>
      </c>
      <c r="E81" s="22">
        <f t="shared" si="7"/>
        <v>1663</v>
      </c>
      <c r="F81" s="22">
        <v>804</v>
      </c>
      <c r="G81" s="24">
        <v>859</v>
      </c>
      <c r="H81" s="85">
        <f t="shared" si="3"/>
        <v>326</v>
      </c>
      <c r="I81" s="72">
        <f t="shared" si="4"/>
        <v>190</v>
      </c>
      <c r="J81" s="72">
        <f t="shared" si="5"/>
        <v>136</v>
      </c>
    </row>
    <row r="82" spans="1:10" ht="12.75">
      <c r="A82" s="11"/>
      <c r="B82" s="22"/>
      <c r="C82" s="22"/>
      <c r="D82" s="24"/>
      <c r="E82" s="22"/>
      <c r="F82" s="22"/>
      <c r="G82" s="24"/>
      <c r="H82" s="85">
        <f t="shared" si="3"/>
        <v>0</v>
      </c>
      <c r="I82" s="72">
        <f t="shared" si="4"/>
        <v>0</v>
      </c>
      <c r="J82" s="72">
        <f t="shared" si="5"/>
        <v>0</v>
      </c>
    </row>
    <row r="83" spans="1:10" ht="12.75">
      <c r="A83" s="11" t="s">
        <v>39</v>
      </c>
      <c r="B83" s="22">
        <f t="shared" si="6"/>
        <v>254</v>
      </c>
      <c r="C83" s="22">
        <v>116</v>
      </c>
      <c r="D83" s="24">
        <v>138</v>
      </c>
      <c r="E83" s="22">
        <f t="shared" si="7"/>
        <v>336</v>
      </c>
      <c r="F83" s="22">
        <v>159</v>
      </c>
      <c r="G83" s="24">
        <v>177</v>
      </c>
      <c r="H83" s="85">
        <f t="shared" si="3"/>
        <v>-82</v>
      </c>
      <c r="I83" s="72">
        <f t="shared" si="4"/>
        <v>-43</v>
      </c>
      <c r="J83" s="72">
        <f t="shared" si="5"/>
        <v>-39</v>
      </c>
    </row>
    <row r="84" spans="1:10" ht="12.75">
      <c r="A84" s="11"/>
      <c r="B84" s="22"/>
      <c r="C84" s="22"/>
      <c r="D84" s="24"/>
      <c r="E84" s="22"/>
      <c r="F84" s="22"/>
      <c r="G84" s="24"/>
      <c r="H84" s="85">
        <f t="shared" si="3"/>
        <v>0</v>
      </c>
      <c r="I84" s="72">
        <f t="shared" si="4"/>
        <v>0</v>
      </c>
      <c r="J84" s="72">
        <f t="shared" si="5"/>
        <v>0</v>
      </c>
    </row>
    <row r="85" spans="1:10" ht="12.75">
      <c r="A85" s="11" t="s">
        <v>40</v>
      </c>
      <c r="B85" s="22">
        <f t="shared" si="6"/>
        <v>55</v>
      </c>
      <c r="C85" s="22">
        <v>30</v>
      </c>
      <c r="D85" s="24">
        <v>25</v>
      </c>
      <c r="E85" s="22">
        <f t="shared" si="7"/>
        <v>70</v>
      </c>
      <c r="F85" s="22">
        <v>41</v>
      </c>
      <c r="G85" s="24">
        <v>29</v>
      </c>
      <c r="H85" s="85">
        <f t="shared" si="3"/>
        <v>-15</v>
      </c>
      <c r="I85" s="72">
        <f t="shared" si="4"/>
        <v>-11</v>
      </c>
      <c r="J85" s="72">
        <f t="shared" si="5"/>
        <v>-4</v>
      </c>
    </row>
    <row r="86" spans="1:10" ht="12.75">
      <c r="A86" s="11"/>
      <c r="B86" s="22"/>
      <c r="C86" s="22"/>
      <c r="D86" s="24"/>
      <c r="E86" s="22"/>
      <c r="F86" s="22"/>
      <c r="G86" s="24"/>
      <c r="H86" s="85">
        <f t="shared" si="3"/>
        <v>0</v>
      </c>
      <c r="I86" s="72">
        <f t="shared" si="4"/>
        <v>0</v>
      </c>
      <c r="J86" s="72">
        <f t="shared" si="5"/>
        <v>0</v>
      </c>
    </row>
    <row r="87" spans="1:10" ht="12.75">
      <c r="A87" s="11" t="s">
        <v>41</v>
      </c>
      <c r="B87" s="22">
        <f t="shared" si="6"/>
        <v>363</v>
      </c>
      <c r="C87" s="22">
        <v>170</v>
      </c>
      <c r="D87" s="24">
        <v>193</v>
      </c>
      <c r="E87" s="22">
        <f t="shared" si="7"/>
        <v>214</v>
      </c>
      <c r="F87" s="22">
        <v>111</v>
      </c>
      <c r="G87" s="24">
        <v>103</v>
      </c>
      <c r="H87" s="85">
        <f t="shared" si="3"/>
        <v>149</v>
      </c>
      <c r="I87" s="72">
        <f t="shared" si="4"/>
        <v>59</v>
      </c>
      <c r="J87" s="72">
        <f t="shared" si="5"/>
        <v>90</v>
      </c>
    </row>
    <row r="88" spans="1:10" ht="12.75">
      <c r="A88" s="11"/>
      <c r="B88" s="22"/>
      <c r="C88" s="22"/>
      <c r="D88" s="24"/>
      <c r="E88" s="22"/>
      <c r="F88" s="22"/>
      <c r="G88" s="24"/>
      <c r="H88" s="85">
        <f t="shared" si="3"/>
        <v>0</v>
      </c>
      <c r="I88" s="72">
        <f t="shared" si="4"/>
        <v>0</v>
      </c>
      <c r="J88" s="72">
        <f t="shared" si="5"/>
        <v>0</v>
      </c>
    </row>
    <row r="89" spans="1:10" ht="12.75">
      <c r="A89" s="11" t="s">
        <v>42</v>
      </c>
      <c r="B89" s="22">
        <f t="shared" si="6"/>
        <v>377</v>
      </c>
      <c r="C89" s="22">
        <v>191</v>
      </c>
      <c r="D89" s="24">
        <v>186</v>
      </c>
      <c r="E89" s="22">
        <f t="shared" si="7"/>
        <v>184</v>
      </c>
      <c r="F89" s="22">
        <v>93</v>
      </c>
      <c r="G89" s="24">
        <v>91</v>
      </c>
      <c r="H89" s="85">
        <f t="shared" si="3"/>
        <v>193</v>
      </c>
      <c r="I89" s="72">
        <f t="shared" si="4"/>
        <v>98</v>
      </c>
      <c r="J89" s="72">
        <f t="shared" si="5"/>
        <v>95</v>
      </c>
    </row>
    <row r="90" spans="1:10" ht="12.75">
      <c r="A90" s="11"/>
      <c r="B90" s="22"/>
      <c r="C90" s="22"/>
      <c r="D90" s="24"/>
      <c r="E90" s="22"/>
      <c r="F90" s="22"/>
      <c r="G90" s="24"/>
      <c r="H90" s="85">
        <f t="shared" si="3"/>
        <v>0</v>
      </c>
      <c r="I90" s="72">
        <f t="shared" si="4"/>
        <v>0</v>
      </c>
      <c r="J90" s="72">
        <f t="shared" si="5"/>
        <v>0</v>
      </c>
    </row>
    <row r="91" spans="1:10" ht="12.75">
      <c r="A91" s="11" t="s">
        <v>43</v>
      </c>
      <c r="B91" s="22">
        <f t="shared" si="6"/>
        <v>178</v>
      </c>
      <c r="C91" s="22">
        <v>82</v>
      </c>
      <c r="D91" s="24">
        <v>96</v>
      </c>
      <c r="E91" s="22">
        <f t="shared" si="7"/>
        <v>113</v>
      </c>
      <c r="F91" s="22">
        <v>59</v>
      </c>
      <c r="G91" s="24">
        <v>54</v>
      </c>
      <c r="H91" s="85">
        <f t="shared" si="3"/>
        <v>65</v>
      </c>
      <c r="I91" s="72">
        <f t="shared" si="4"/>
        <v>23</v>
      </c>
      <c r="J91" s="72">
        <f t="shared" si="5"/>
        <v>42</v>
      </c>
    </row>
    <row r="92" spans="1:10" ht="12.75" customHeight="1">
      <c r="A92" s="11"/>
      <c r="B92" s="22"/>
      <c r="C92" s="22"/>
      <c r="D92" s="24"/>
      <c r="E92" s="22"/>
      <c r="F92" s="22"/>
      <c r="G92" s="24"/>
      <c r="H92" s="85">
        <f t="shared" si="3"/>
        <v>0</v>
      </c>
      <c r="I92" s="72">
        <f t="shared" si="4"/>
        <v>0</v>
      </c>
      <c r="J92" s="72">
        <f t="shared" si="5"/>
        <v>0</v>
      </c>
    </row>
    <row r="93" spans="1:10" ht="12.75">
      <c r="A93" s="11" t="s">
        <v>44</v>
      </c>
      <c r="B93" s="22">
        <f aca="true" t="shared" si="8" ref="B93:G93">B63+B65+B67+B69+B71+B73+B75+B77+B79+B81+B83+B85+B87+B89+B91</f>
        <v>18566</v>
      </c>
      <c r="C93" s="22">
        <f t="shared" si="8"/>
        <v>9087</v>
      </c>
      <c r="D93" s="24">
        <f t="shared" si="8"/>
        <v>9479</v>
      </c>
      <c r="E93" s="22">
        <f t="shared" si="8"/>
        <v>14786</v>
      </c>
      <c r="F93" s="22">
        <f t="shared" si="8"/>
        <v>7526</v>
      </c>
      <c r="G93" s="24">
        <f t="shared" si="8"/>
        <v>7260</v>
      </c>
      <c r="H93" s="85">
        <f t="shared" si="3"/>
        <v>3780</v>
      </c>
      <c r="I93" s="72">
        <f t="shared" si="4"/>
        <v>1561</v>
      </c>
      <c r="J93" s="72">
        <f t="shared" si="5"/>
        <v>2219</v>
      </c>
    </row>
    <row r="94" spans="1:10" ht="12.75" customHeight="1">
      <c r="A94" s="11"/>
      <c r="B94" s="22"/>
      <c r="C94" s="22"/>
      <c r="D94" s="24"/>
      <c r="E94" s="22"/>
      <c r="F94" s="22"/>
      <c r="G94" s="24"/>
      <c r="H94" s="85">
        <f t="shared" si="3"/>
        <v>0</v>
      </c>
      <c r="I94" s="72">
        <f t="shared" si="4"/>
        <v>0</v>
      </c>
      <c r="J94" s="72">
        <f t="shared" si="5"/>
        <v>0</v>
      </c>
    </row>
    <row r="95" spans="1:10" ht="12.75">
      <c r="A95" s="11" t="s">
        <v>74</v>
      </c>
      <c r="B95" s="22">
        <f>C95+D95</f>
        <v>4129</v>
      </c>
      <c r="C95" s="22">
        <v>2199</v>
      </c>
      <c r="D95" s="24">
        <v>1930</v>
      </c>
      <c r="E95" s="22">
        <f>F95+G95</f>
        <v>4200</v>
      </c>
      <c r="F95" s="22">
        <v>2482</v>
      </c>
      <c r="G95" s="24">
        <v>1718</v>
      </c>
      <c r="H95" s="85">
        <f t="shared" si="3"/>
        <v>-71</v>
      </c>
      <c r="I95" s="72">
        <f t="shared" si="4"/>
        <v>-283</v>
      </c>
      <c r="J95" s="72">
        <f t="shared" si="5"/>
        <v>212</v>
      </c>
    </row>
    <row r="96" spans="1:10" ht="12.75">
      <c r="A96" s="3"/>
      <c r="B96" s="25"/>
      <c r="C96" s="25"/>
      <c r="D96" s="26"/>
      <c r="E96" s="25"/>
      <c r="F96" s="25"/>
      <c r="G96" s="26"/>
      <c r="H96" s="85">
        <f t="shared" si="3"/>
        <v>0</v>
      </c>
      <c r="I96" s="72">
        <f t="shared" si="4"/>
        <v>0</v>
      </c>
      <c r="J96" s="72">
        <f t="shared" si="5"/>
        <v>0</v>
      </c>
    </row>
    <row r="97" spans="1:10" ht="12.75">
      <c r="A97" s="13" t="s">
        <v>62</v>
      </c>
      <c r="B97" s="34">
        <f aca="true" t="shared" si="9" ref="B97:G97">B93+B95</f>
        <v>22695</v>
      </c>
      <c r="C97" s="34">
        <f t="shared" si="9"/>
        <v>11286</v>
      </c>
      <c r="D97" s="35">
        <f t="shared" si="9"/>
        <v>11409</v>
      </c>
      <c r="E97" s="34">
        <f t="shared" si="9"/>
        <v>18986</v>
      </c>
      <c r="F97" s="34">
        <f t="shared" si="9"/>
        <v>10008</v>
      </c>
      <c r="G97" s="35">
        <f t="shared" si="9"/>
        <v>8978</v>
      </c>
      <c r="H97" s="88">
        <f t="shared" si="3"/>
        <v>3709</v>
      </c>
      <c r="I97" s="73">
        <f t="shared" si="4"/>
        <v>1278</v>
      </c>
      <c r="J97" s="73">
        <f t="shared" si="5"/>
        <v>2431</v>
      </c>
    </row>
    <row r="98" ht="8.25" customHeight="1">
      <c r="A98" s="57"/>
    </row>
  </sheetData>
  <mergeCells count="32">
    <mergeCell ref="A53:J53"/>
    <mergeCell ref="B58:D59"/>
    <mergeCell ref="F8:F9"/>
    <mergeCell ref="C8:C9"/>
    <mergeCell ref="E60:E61"/>
    <mergeCell ref="I60:I61"/>
    <mergeCell ref="A54:J54"/>
    <mergeCell ref="H58:J59"/>
    <mergeCell ref="J8:J9"/>
    <mergeCell ref="E8:E9"/>
    <mergeCell ref="G8:G9"/>
    <mergeCell ref="I8:I9"/>
    <mergeCell ref="G60:G61"/>
    <mergeCell ref="H60:H61"/>
    <mergeCell ref="A1:J1"/>
    <mergeCell ref="A2:J2"/>
    <mergeCell ref="A4:J4"/>
    <mergeCell ref="A6:A9"/>
    <mergeCell ref="B6:D7"/>
    <mergeCell ref="E6:G7"/>
    <mergeCell ref="H6:J7"/>
    <mergeCell ref="B8:B9"/>
    <mergeCell ref="C60:C61"/>
    <mergeCell ref="D60:D61"/>
    <mergeCell ref="D8:D9"/>
    <mergeCell ref="H8:H9"/>
    <mergeCell ref="A56:J56"/>
    <mergeCell ref="A58:A61"/>
    <mergeCell ref="B60:B61"/>
    <mergeCell ref="E58:G59"/>
    <mergeCell ref="J60:J61"/>
    <mergeCell ref="F60:F61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vj 3/04</dc:title>
  <dc:subject>Die Wanderungen im 3. Vierteljahr 2004</dc:subject>
  <dc:creator>KaiserSa</dc:creator>
  <cp:keywords/>
  <dc:description/>
  <cp:lastModifiedBy>foersmon</cp:lastModifiedBy>
  <cp:lastPrinted>2006-10-09T09:09:05Z</cp:lastPrinted>
  <dcterms:created xsi:type="dcterms:W3CDTF">2005-11-28T09:08:24Z</dcterms:created>
  <dcterms:modified xsi:type="dcterms:W3CDTF">2006-10-09T09:19:08Z</dcterms:modified>
  <cp:category/>
  <cp:version/>
  <cp:contentType/>
  <cp:contentStatus/>
</cp:coreProperties>
</file>